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00"/>
  </bookViews>
  <sheets>
    <sheet name="תכנון מול ביצוע  " sheetId="1" r:id="rId1"/>
  </sheets>
  <externalReferences>
    <externalReference r:id="rId2"/>
    <externalReference r:id="rId3"/>
    <externalReference r:id="rId4"/>
  </externalReferences>
  <definedNames>
    <definedName name="reassignIL2023">[1]נתונים!$B$40</definedName>
    <definedName name="reassignישראל2023">[1]נתונים!$B$41</definedName>
    <definedName name="אגרה_מוגדלת">[1]נתונים!$B$22</definedName>
    <definedName name="אגרה_מוצמדת_מדד">[1]נתונים!$B$20</definedName>
    <definedName name="אגרה_נוכחית">[1]נתונים!$B$19</definedName>
    <definedName name="אחוז_עדכון_שכר">[1]נתונים!$B$44</definedName>
    <definedName name="אחוז_רישום_שנה_אחת_2022">[1]נתונים!$B$42</definedName>
    <definedName name="גידולIL2023">[1]נתונים!$B$33</definedName>
    <definedName name="גידולישראל2023">[1]נתונים!$B$38</definedName>
    <definedName name="הוצאות">[2]!Table6[#Data]</definedName>
    <definedName name="הכנסות">[2]!Table5[#Data]</definedName>
    <definedName name="מרחבIL2022">[1]נתונים!$B$32</definedName>
    <definedName name="מרחבישראל2022">[1]נתונים!$B$37</definedName>
    <definedName name="שמות_מתחם_1999">[1]נתונים!$B$36</definedName>
    <definedName name="שמות_מתחם_מדינה">[1]נתונים!$B$35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E97" i="1"/>
  <c r="C96" i="1"/>
  <c r="F96" i="1" s="1"/>
  <c r="F95" i="1"/>
  <c r="E95" i="1"/>
  <c r="F94" i="1"/>
  <c r="E94" i="1"/>
  <c r="F93" i="1"/>
  <c r="E93" i="1"/>
  <c r="D92" i="1"/>
  <c r="B92" i="1"/>
  <c r="F91" i="1"/>
  <c r="E91" i="1"/>
  <c r="C90" i="1"/>
  <c r="F90" i="1" s="1"/>
  <c r="F89" i="1"/>
  <c r="E89" i="1"/>
  <c r="D88" i="1"/>
  <c r="B88" i="1"/>
  <c r="F87" i="1"/>
  <c r="E87" i="1"/>
  <c r="F86" i="1"/>
  <c r="E86" i="1"/>
  <c r="F85" i="1"/>
  <c r="E85" i="1"/>
  <c r="F84" i="1"/>
  <c r="E84" i="1"/>
  <c r="F83" i="1"/>
  <c r="E83" i="1"/>
  <c r="E81" i="1" s="1"/>
  <c r="F82" i="1"/>
  <c r="E82" i="1"/>
  <c r="D81" i="1"/>
  <c r="C81" i="1"/>
  <c r="B81" i="1"/>
  <c r="F81" i="1" s="1"/>
  <c r="F80" i="1"/>
  <c r="E80" i="1"/>
  <c r="F79" i="1"/>
  <c r="E79" i="1"/>
  <c r="C78" i="1"/>
  <c r="E78" i="1" s="1"/>
  <c r="E77" i="1"/>
  <c r="F76" i="1"/>
  <c r="C76" i="1"/>
  <c r="E76" i="1" s="1"/>
  <c r="F75" i="1"/>
  <c r="C75" i="1"/>
  <c r="C74" i="1" s="1"/>
  <c r="F74" i="1" s="1"/>
  <c r="D74" i="1"/>
  <c r="B74" i="1"/>
  <c r="F73" i="1"/>
  <c r="C73" i="1"/>
  <c r="E73" i="1" s="1"/>
  <c r="F72" i="1"/>
  <c r="E72" i="1"/>
  <c r="F71" i="1"/>
  <c r="C71" i="1"/>
  <c r="E71" i="1" s="1"/>
  <c r="F70" i="1"/>
  <c r="C70" i="1"/>
  <c r="C69" i="1" s="1"/>
  <c r="F69" i="1" s="1"/>
  <c r="D69" i="1"/>
  <c r="B69" i="1"/>
  <c r="F68" i="1"/>
  <c r="E68" i="1"/>
  <c r="F67" i="1"/>
  <c r="E67" i="1"/>
  <c r="E66" i="1"/>
  <c r="D66" i="1"/>
  <c r="F65" i="1"/>
  <c r="F64" i="1"/>
  <c r="E64" i="1"/>
  <c r="F63" i="1"/>
  <c r="E63" i="1"/>
  <c r="F62" i="1"/>
  <c r="E62" i="1"/>
  <c r="F61" i="1"/>
  <c r="E61" i="1"/>
  <c r="F60" i="1"/>
  <c r="E60" i="1"/>
  <c r="E59" i="1" s="1"/>
  <c r="D59" i="1"/>
  <c r="F59" i="1" s="1"/>
  <c r="C59" i="1"/>
  <c r="C39" i="1" s="1"/>
  <c r="B59" i="1"/>
  <c r="F58" i="1"/>
  <c r="E58" i="1"/>
  <c r="F57" i="1"/>
  <c r="E57" i="1"/>
  <c r="F56" i="1"/>
  <c r="E56" i="1"/>
  <c r="F55" i="1"/>
  <c r="E55" i="1"/>
  <c r="B54" i="1"/>
  <c r="F54" i="1" s="1"/>
  <c r="F53" i="1"/>
  <c r="E53" i="1"/>
  <c r="D52" i="1"/>
  <c r="C52" i="1"/>
  <c r="F51" i="1"/>
  <c r="E51" i="1"/>
  <c r="F50" i="1"/>
  <c r="E50" i="1"/>
  <c r="F49" i="1"/>
  <c r="D49" i="1"/>
  <c r="E49" i="1" s="1"/>
  <c r="F48" i="1"/>
  <c r="E48" i="1"/>
  <c r="F47" i="1"/>
  <c r="E47" i="1"/>
  <c r="F46" i="1"/>
  <c r="E46" i="1"/>
  <c r="F45" i="1"/>
  <c r="E45" i="1"/>
  <c r="F44" i="1"/>
  <c r="E44" i="1"/>
  <c r="D43" i="1"/>
  <c r="E43" i="1" s="1"/>
  <c r="F42" i="1"/>
  <c r="E42" i="1"/>
  <c r="F41" i="1"/>
  <c r="E41" i="1"/>
  <c r="C40" i="1"/>
  <c r="B40" i="1"/>
  <c r="F38" i="1"/>
  <c r="E38" i="1"/>
  <c r="F37" i="1"/>
  <c r="E37" i="1"/>
  <c r="F36" i="1"/>
  <c r="D36" i="1"/>
  <c r="E36" i="1" s="1"/>
  <c r="D35" i="1"/>
  <c r="E35" i="1" s="1"/>
  <c r="F34" i="1"/>
  <c r="D34" i="1"/>
  <c r="E34" i="1" s="1"/>
  <c r="F33" i="1"/>
  <c r="E33" i="1"/>
  <c r="D33" i="1"/>
  <c r="D32" i="1"/>
  <c r="F32" i="1" s="1"/>
  <c r="C31" i="1"/>
  <c r="B31" i="1"/>
  <c r="F26" i="1"/>
  <c r="E26" i="1"/>
  <c r="D25" i="1"/>
  <c r="F25" i="1" s="1"/>
  <c r="B24" i="1"/>
  <c r="F23" i="1"/>
  <c r="E23" i="1"/>
  <c r="E22" i="1"/>
  <c r="D22" i="1"/>
  <c r="B22" i="1"/>
  <c r="F22" i="1" s="1"/>
  <c r="F20" i="1"/>
  <c r="D20" i="1"/>
  <c r="E20" i="1" s="1"/>
  <c r="C20" i="1"/>
  <c r="F19" i="1"/>
  <c r="D19" i="1"/>
  <c r="E19" i="1" s="1"/>
  <c r="C19" i="1"/>
  <c r="C17" i="1" s="1"/>
  <c r="C21" i="1" s="1"/>
  <c r="C27" i="1" s="1"/>
  <c r="F18" i="1"/>
  <c r="D18" i="1"/>
  <c r="E18" i="1" s="1"/>
  <c r="E17" i="1" s="1"/>
  <c r="B17" i="1"/>
  <c r="F16" i="1"/>
  <c r="E16" i="1"/>
  <c r="E15" i="1" s="1"/>
  <c r="F15" i="1"/>
  <c r="D15" i="1"/>
  <c r="B15" i="1"/>
  <c r="F14" i="1"/>
  <c r="E14" i="1"/>
  <c r="F13" i="1"/>
  <c r="E13" i="1"/>
  <c r="D12" i="1"/>
  <c r="F12" i="1" s="1"/>
  <c r="D11" i="1"/>
  <c r="E11" i="1" s="1"/>
  <c r="E10" i="1" s="1"/>
  <c r="B10" i="1"/>
  <c r="B9" i="1"/>
  <c r="B21" i="1" s="1"/>
  <c r="B27" i="1" s="1"/>
  <c r="B3" i="1" s="1"/>
  <c r="A4" i="1"/>
  <c r="A3" i="1"/>
  <c r="E40" i="1" l="1"/>
  <c r="E9" i="1"/>
  <c r="D98" i="1"/>
  <c r="E90" i="1"/>
  <c r="E88" i="1" s="1"/>
  <c r="E96" i="1"/>
  <c r="E92" i="1" s="1"/>
  <c r="F11" i="1"/>
  <c r="D17" i="1"/>
  <c r="F17" i="1" s="1"/>
  <c r="F35" i="1"/>
  <c r="F43" i="1"/>
  <c r="E70" i="1"/>
  <c r="E69" i="1" s="1"/>
  <c r="E75" i="1"/>
  <c r="E74" i="1" s="1"/>
  <c r="F78" i="1"/>
  <c r="B8" i="1"/>
  <c r="E12" i="1"/>
  <c r="D24" i="1"/>
  <c r="F24" i="1" s="1"/>
  <c r="D31" i="1"/>
  <c r="F31" i="1" s="1"/>
  <c r="B52" i="1"/>
  <c r="F52" i="1" s="1"/>
  <c r="E54" i="1"/>
  <c r="E52" i="1" s="1"/>
  <c r="C92" i="1"/>
  <c r="D10" i="1"/>
  <c r="E25" i="1"/>
  <c r="E24" i="1" s="1"/>
  <c r="E32" i="1"/>
  <c r="E31" i="1" s="1"/>
  <c r="D40" i="1"/>
  <c r="C88" i="1"/>
  <c r="F88" i="1" s="1"/>
  <c r="D4" i="1" l="1"/>
  <c r="B98" i="1"/>
  <c r="E8" i="1"/>
  <c r="E21" i="1"/>
  <c r="E27" i="1" s="1"/>
  <c r="E3" i="1" s="1"/>
  <c r="D39" i="1"/>
  <c r="F39" i="1" s="1"/>
  <c r="F40" i="1"/>
  <c r="E39" i="1"/>
  <c r="E98" i="1"/>
  <c r="E4" i="1" s="1"/>
  <c r="B39" i="1"/>
  <c r="F92" i="1"/>
  <c r="C98" i="1"/>
  <c r="F98" i="1" s="1"/>
  <c r="F4" i="1" s="1"/>
  <c r="D9" i="1"/>
  <c r="F10" i="1"/>
  <c r="D8" i="1" l="1"/>
  <c r="F8" i="1" s="1"/>
  <c r="F9" i="1"/>
  <c r="D21" i="1"/>
  <c r="B4" i="1"/>
  <c r="B5" i="1" s="1"/>
  <c r="D27" i="1" l="1"/>
  <c r="F21" i="1"/>
  <c r="D3" i="1" l="1"/>
  <c r="D5" i="1" s="1"/>
  <c r="F27" i="1"/>
  <c r="F3" i="1" s="1"/>
</calcChain>
</file>

<file path=xl/sharedStrings.xml><?xml version="1.0" encoding="utf-8"?>
<sst xmlns="http://schemas.openxmlformats.org/spreadsheetml/2006/main" count="107" uniqueCount="93">
  <si>
    <t>תקציר</t>
  </si>
  <si>
    <t>תכנון 2024</t>
  </si>
  <si>
    <t>שינויים תקציביים</t>
  </si>
  <si>
    <t xml:space="preserve">ביצוע </t>
  </si>
  <si>
    <t>חוסר</t>
  </si>
  <si>
    <t>אחוז ביצוע</t>
  </si>
  <si>
    <t xml:space="preserve">עודף </t>
  </si>
  <si>
    <t>הכנסות</t>
  </si>
  <si>
    <t>שירותי התשתית</t>
  </si>
  <si>
    <t>אגרות שמות מתחם</t>
  </si>
  <si>
    <t>סך הכנסות מרישום שמות מתחם מרחב .IL</t>
  </si>
  <si>
    <t>הכנסות בפועל מרישום שמות מתחם IL</t>
  </si>
  <si>
    <t>הכנסות בפועל מרישום שמות מתחם .ישראל</t>
  </si>
  <si>
    <t>מחלף האינטרנט הישראלי IIX</t>
  </si>
  <si>
    <t>IL-DRP</t>
  </si>
  <si>
    <t>קהילה</t>
  </si>
  <si>
    <t>דמי חבר</t>
  </si>
  <si>
    <t>פרוייקטים משותפים ותמיכות</t>
  </si>
  <si>
    <t xml:space="preserve">פרוייקט אוריינות סייבר- תמיכת הוועדה לניהול וחלוקת כספים שנפסקו כסעד </t>
  </si>
  <si>
    <t>השתתפות בהוצאות ISOC</t>
  </si>
  <si>
    <t>פרוייקט דיסאינפורמציה</t>
  </si>
  <si>
    <t>סה"כ הכנסות בעין</t>
  </si>
  <si>
    <t>קרנות ייעודיות</t>
  </si>
  <si>
    <t>קרן חידוש ציוד תשתיות</t>
  </si>
  <si>
    <t>שווי כסף ותרומות</t>
  </si>
  <si>
    <t>הרשאת שימוש ב-adwords</t>
  </si>
  <si>
    <t>Google Apps, Salesforce, Microsoft</t>
  </si>
  <si>
    <t>סה"כ  הכנסות צפויות</t>
  </si>
  <si>
    <t>הוצאות</t>
  </si>
  <si>
    <t xml:space="preserve">ביצוע  </t>
  </si>
  <si>
    <t>יתרה</t>
  </si>
  <si>
    <t>סך עלויות שכר</t>
  </si>
  <si>
    <t>מנהלה ונראות</t>
  </si>
  <si>
    <t>תשתיות</t>
  </si>
  <si>
    <t>רגולציה ובינל"א</t>
  </si>
  <si>
    <t>תגמולי הצטיינות</t>
  </si>
  <si>
    <t>קופת עדכוני שכר</t>
  </si>
  <si>
    <t>תפעול שוטף</t>
  </si>
  <si>
    <t>מרשם - שרות ואחריות לחומרה</t>
  </si>
  <si>
    <t>מרשם - שרות ואחריות לתוכנה</t>
  </si>
  <si>
    <t>תפעול IIX</t>
  </si>
  <si>
    <t>אירוח ב Med1</t>
  </si>
  <si>
    <t xml:space="preserve">שרותי אבטחת מידע ונהלי ISO 27001 </t>
  </si>
  <si>
    <t>שרותי ANYCAST בעולם</t>
  </si>
  <si>
    <t>ספקי תקשורת</t>
  </si>
  <si>
    <t>תחזוקת מערכות מידע משרדיות</t>
  </si>
  <si>
    <t>שדרוגים של שרתים ועמדות קצה</t>
  </si>
  <si>
    <t>מערכת BI</t>
  </si>
  <si>
    <t>שווי כסף Google Apps, ו SF</t>
  </si>
  <si>
    <t>מרשם</t>
  </si>
  <si>
    <t>ביקורת וניהול רשמים</t>
  </si>
  <si>
    <t>עמלות ל-ICANN על .ישראל</t>
  </si>
  <si>
    <t>ILDRP</t>
  </si>
  <si>
    <t>קובץ המיקוד הישראלי</t>
  </si>
  <si>
    <t>מסמך WHOIS</t>
  </si>
  <si>
    <t>פרוייקט DATA</t>
  </si>
  <si>
    <t>פרוייקטי שדרוג ופיתוח</t>
  </si>
  <si>
    <t>פרוייקטים לטובת שיפור מענה הגנה בסייבר</t>
  </si>
  <si>
    <t>שדרוג אבטחתי של סביבת הניהול</t>
  </si>
  <si>
    <t>המרת בסיס הנתונים</t>
  </si>
  <si>
    <t>תהליכי אוטומציה</t>
  </si>
  <si>
    <t>פלטפורמה לניהול תהליכי מרשם</t>
  </si>
  <si>
    <t xml:space="preserve">שדרוגי תוכנה </t>
  </si>
  <si>
    <t>הקמת מחלף L2 חדש</t>
  </si>
  <si>
    <t>הפרשה לקרן שדרוג תשתיות - מרשם</t>
  </si>
  <si>
    <t>הפרשה לקרן תשתיות - IIX דור הבא</t>
  </si>
  <si>
    <t>צמצום הפער הדיגיטלי</t>
  </si>
  <si>
    <t>מרכז הגנת הסייבר לאזרחים/ קו סיוע לאינטרנט בטוח ואתרי בלוק</t>
  </si>
  <si>
    <t>חינוך ואוריינות רשת</t>
  </si>
  <si>
    <t>רגולציה ומחקר</t>
  </si>
  <si>
    <t>מסמכי מדיניות ומחקרים</t>
  </si>
  <si>
    <t xml:space="preserve">נתונים וסטטיסטיקת </t>
  </si>
  <si>
    <t>תשתיות מחקר וחדשנות דיגיטליים</t>
  </si>
  <si>
    <t>קידום מחקר אינטרנט ישראלי באקדמיה וחברה אזרחית</t>
  </si>
  <si>
    <t xml:space="preserve">פרויקט אוריינות סייבר בשיתוף הוועדה לניהול וחלוקת כספים שנפסקו כסעד </t>
  </si>
  <si>
    <t>שקיפות ונראות</t>
  </si>
  <si>
    <t>תקשורת, דיגיטל ופרסום עיברית וערבית</t>
  </si>
  <si>
    <t>תכנים ועיצובים לאתר + אתר בערבית</t>
  </si>
  <si>
    <t>קידום מרחבי .IL .ישראל</t>
  </si>
  <si>
    <t xml:space="preserve">שיווק שווה כסף adwords </t>
  </si>
  <si>
    <t>קמפיין מרכזי למיצוב האיגוד</t>
  </si>
  <si>
    <t>עיצוב ופרסום- מדדים תקשורתיים ודוח נתונים מורחב</t>
  </si>
  <si>
    <t>קשרי חו"ל</t>
  </si>
  <si>
    <t>חברות בארגונים בינלאומיים (Centr, Icann, ripe, isoc)</t>
  </si>
  <si>
    <t>קשרים בינלאומיים</t>
  </si>
  <si>
    <t xml:space="preserve">השתתפות בכנסים בינלאומיים </t>
  </si>
  <si>
    <t>מנהלה</t>
  </si>
  <si>
    <t>כח אדם</t>
  </si>
  <si>
    <t>ביטוחים</t>
  </si>
  <si>
    <t>יעוץ ושירותים מקצועיים</t>
  </si>
  <si>
    <t>ניהול העמותה</t>
  </si>
  <si>
    <t>תחזוקת משרד</t>
  </si>
  <si>
    <t>סה"כ הוצאות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</si>
</sst>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5" formatCode="&quot;₪&quot;\ #,##0"/>
    <numFmt numFmtId="166" formatCode="&quot;₪&quot;#,##0.00"/>
    <numFmt numFmtId="167" formatCode="_ * #,##0_ ;_ * \-#,##0_ ;_ * &quot;-&quot;??_ ;_ @_ 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3"/>
      <name val="Arial"/>
      <family val="2"/>
      <scheme val="minor"/>
    </font>
    <font>
      <sz val="11"/>
      <color rgb="FF006100"/>
      <name val="Arial"/>
      <family val="2"/>
      <charset val="177"/>
      <scheme val="minor"/>
    </font>
    <font>
      <sz val="14"/>
      <color rgb="FF006100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5" borderId="0" applyNumberFormat="0" applyBorder="0" applyAlignment="0" applyProtection="0"/>
  </cellStyleXfs>
  <cellXfs count="54">
    <xf numFmtId="0" fontId="0" fillId="0" borderId="0" xfId="0"/>
    <xf numFmtId="43" fontId="4" fillId="2" borderId="2" xfId="3" applyFont="1" applyFill="1" applyBorder="1" applyAlignment="1">
      <alignment horizontal="right" vertical="center" wrapText="1" readingOrder="2"/>
    </xf>
    <xf numFmtId="165" fontId="5" fillId="2" borderId="2" xfId="3" applyNumberFormat="1" applyFont="1" applyFill="1" applyBorder="1" applyAlignment="1">
      <alignment horizontal="center" wrapText="1" readingOrder="2"/>
    </xf>
    <xf numFmtId="9" fontId="5" fillId="2" borderId="2" xfId="2" applyFont="1" applyFill="1" applyBorder="1" applyAlignment="1">
      <alignment horizontal="center" wrapText="1" readingOrder="2"/>
    </xf>
    <xf numFmtId="43" fontId="6" fillId="2" borderId="3" xfId="3" applyFont="1" applyFill="1" applyBorder="1" applyAlignment="1">
      <alignment horizontal="right" vertical="center" wrapText="1" readingOrder="2"/>
    </xf>
    <xf numFmtId="165" fontId="7" fillId="2" borderId="3" xfId="3" applyNumberFormat="1" applyFont="1" applyFill="1" applyBorder="1" applyAlignment="1">
      <alignment horizontal="center" wrapText="1" readingOrder="2"/>
    </xf>
    <xf numFmtId="9" fontId="7" fillId="2" borderId="3" xfId="2" applyFont="1" applyFill="1" applyBorder="1" applyAlignment="1">
      <alignment horizontal="center" wrapText="1" readingOrder="2"/>
    </xf>
    <xf numFmtId="0" fontId="3" fillId="3" borderId="1" xfId="4" applyFont="1" applyFill="1" applyBorder="1" applyAlignment="1">
      <alignment horizontal="right" vertical="center" wrapText="1" readingOrder="2"/>
    </xf>
    <xf numFmtId="165" fontId="3" fillId="3" borderId="4" xfId="4" applyNumberFormat="1" applyFont="1" applyFill="1" applyBorder="1" applyAlignment="1">
      <alignment horizontal="center" wrapText="1"/>
    </xf>
    <xf numFmtId="43" fontId="8" fillId="4" borderId="2" xfId="3" applyFont="1" applyFill="1" applyBorder="1" applyAlignment="1">
      <alignment horizontal="right" vertical="center" wrapText="1" readingOrder="2"/>
    </xf>
    <xf numFmtId="165" fontId="8" fillId="4" borderId="2" xfId="3" applyNumberFormat="1" applyFont="1" applyFill="1" applyBorder="1" applyAlignment="1">
      <alignment horizontal="center" wrapText="1" readingOrder="2"/>
    </xf>
    <xf numFmtId="9" fontId="9" fillId="0" borderId="5" xfId="2" applyFont="1" applyBorder="1" applyAlignment="1">
      <alignment horizontal="center" wrapText="1" readingOrder="2"/>
    </xf>
    <xf numFmtId="0" fontId="4" fillId="0" borderId="2" xfId="4" applyFont="1" applyBorder="1" applyAlignment="1">
      <alignment horizontal="right" vertical="center" wrapText="1" readingOrder="2"/>
    </xf>
    <xf numFmtId="165" fontId="4" fillId="0" borderId="2" xfId="3" applyNumberFormat="1" applyFont="1" applyFill="1" applyBorder="1" applyAlignment="1">
      <alignment horizontal="center" readingOrder="2"/>
    </xf>
    <xf numFmtId="166" fontId="10" fillId="0" borderId="2" xfId="3" applyNumberFormat="1" applyFont="1" applyFill="1" applyBorder="1" applyAlignment="1">
      <alignment horizontal="right" vertical="center" wrapText="1" readingOrder="2"/>
    </xf>
    <xf numFmtId="165" fontId="10" fillId="0" borderId="2" xfId="3" applyNumberFormat="1" applyFont="1" applyFill="1" applyBorder="1" applyAlignment="1">
      <alignment horizontal="center" wrapText="1" readingOrder="2"/>
    </xf>
    <xf numFmtId="165" fontId="11" fillId="0" borderId="2" xfId="3" applyNumberFormat="1" applyFont="1" applyFill="1" applyBorder="1" applyAlignment="1">
      <alignment horizontal="right" vertical="center" wrapText="1" readingOrder="2"/>
    </xf>
    <xf numFmtId="165" fontId="11" fillId="0" borderId="2" xfId="3" applyNumberFormat="1" applyFont="1" applyFill="1" applyBorder="1" applyAlignment="1">
      <alignment horizontal="center" wrapText="1" readingOrder="2"/>
    </xf>
    <xf numFmtId="165" fontId="2" fillId="0" borderId="2" xfId="4" applyNumberFormat="1" applyBorder="1" applyAlignment="1">
      <alignment horizontal="center"/>
    </xf>
    <xf numFmtId="9" fontId="11" fillId="0" borderId="5" xfId="2" applyFont="1" applyBorder="1" applyAlignment="1">
      <alignment horizontal="center" wrapText="1" readingOrder="2"/>
    </xf>
    <xf numFmtId="165" fontId="10" fillId="0" borderId="2" xfId="3" applyNumberFormat="1" applyFont="1" applyFill="1" applyBorder="1" applyAlignment="1">
      <alignment horizontal="right" vertical="center" wrapText="1" readingOrder="2"/>
    </xf>
    <xf numFmtId="165" fontId="5" fillId="0" borderId="2" xfId="3" applyNumberFormat="1" applyFont="1" applyFill="1" applyBorder="1" applyAlignment="1">
      <alignment horizontal="right" vertical="center" wrapText="1" readingOrder="2"/>
    </xf>
    <xf numFmtId="165" fontId="5" fillId="0" borderId="2" xfId="3" applyNumberFormat="1" applyFont="1" applyFill="1" applyBorder="1" applyAlignment="1">
      <alignment horizontal="center" wrapText="1" readingOrder="2"/>
    </xf>
    <xf numFmtId="0" fontId="2" fillId="0" borderId="2" xfId="4" applyBorder="1" applyAlignment="1">
      <alignment horizontal="right" vertical="center" wrapText="1" readingOrder="2"/>
    </xf>
    <xf numFmtId="165" fontId="4" fillId="0" borderId="2" xfId="3" applyNumberFormat="1" applyFont="1" applyFill="1" applyBorder="1" applyAlignment="1">
      <alignment horizontal="right" vertical="center" wrapText="1" readingOrder="2"/>
    </xf>
    <xf numFmtId="165" fontId="4" fillId="0" borderId="2" xfId="3" applyNumberFormat="1" applyFont="1" applyFill="1" applyBorder="1" applyAlignment="1">
      <alignment horizontal="center" wrapText="1" readingOrder="2"/>
    </xf>
    <xf numFmtId="165" fontId="11" fillId="4" borderId="2" xfId="3" applyNumberFormat="1" applyFont="1" applyFill="1" applyBorder="1" applyAlignment="1">
      <alignment horizontal="right" vertical="center" wrapText="1" readingOrder="2"/>
    </xf>
    <xf numFmtId="165" fontId="11" fillId="4" borderId="2" xfId="3" applyNumberFormat="1" applyFont="1" applyFill="1" applyBorder="1" applyAlignment="1">
      <alignment horizontal="center" wrapText="1" readingOrder="2"/>
    </xf>
    <xf numFmtId="165" fontId="9" fillId="0" borderId="2" xfId="3" applyNumberFormat="1" applyFont="1" applyBorder="1" applyAlignment="1">
      <alignment horizontal="right" vertical="center" wrapText="1" readingOrder="2"/>
    </xf>
    <xf numFmtId="165" fontId="9" fillId="0" borderId="6" xfId="3" applyNumberFormat="1" applyFont="1" applyBorder="1" applyAlignment="1">
      <alignment horizontal="center" wrapText="1" readingOrder="2"/>
    </xf>
    <xf numFmtId="165" fontId="11" fillId="0" borderId="2" xfId="3" applyNumberFormat="1" applyFont="1" applyBorder="1" applyAlignment="1">
      <alignment horizontal="center" wrapText="1" readingOrder="2"/>
    </xf>
    <xf numFmtId="43" fontId="4" fillId="0" borderId="2" xfId="3" applyFont="1" applyFill="1" applyBorder="1" applyAlignment="1">
      <alignment horizontal="right" vertical="center" wrapText="1" readingOrder="2"/>
    </xf>
    <xf numFmtId="0" fontId="6" fillId="0" borderId="3" xfId="4" applyFont="1" applyBorder="1" applyAlignment="1">
      <alignment horizontal="right" vertical="center" wrapText="1" readingOrder="2"/>
    </xf>
    <xf numFmtId="165" fontId="7" fillId="0" borderId="3" xfId="4" applyNumberFormat="1" applyFont="1" applyBorder="1" applyAlignment="1">
      <alignment horizontal="center" wrapText="1" readingOrder="2"/>
    </xf>
    <xf numFmtId="43" fontId="8" fillId="0" borderId="2" xfId="3" applyFont="1" applyFill="1" applyBorder="1" applyAlignment="1">
      <alignment horizontal="right" vertical="center" wrapText="1" readingOrder="2"/>
    </xf>
    <xf numFmtId="165" fontId="9" fillId="0" borderId="2" xfId="4" applyNumberFormat="1" applyFont="1" applyBorder="1" applyAlignment="1">
      <alignment horizontal="center" wrapText="1" readingOrder="2"/>
    </xf>
    <xf numFmtId="9" fontId="9" fillId="0" borderId="2" xfId="2" applyFont="1" applyFill="1" applyBorder="1" applyAlignment="1">
      <alignment horizontal="center" wrapText="1" readingOrder="2"/>
    </xf>
    <xf numFmtId="0" fontId="8" fillId="0" borderId="2" xfId="4" applyFont="1" applyBorder="1" applyAlignment="1">
      <alignment horizontal="right" vertical="center" wrapText="1" readingOrder="2"/>
    </xf>
    <xf numFmtId="165" fontId="9" fillId="0" borderId="2" xfId="3" applyNumberFormat="1" applyFont="1" applyFill="1" applyBorder="1" applyAlignment="1">
      <alignment horizontal="center" wrapText="1" readingOrder="2"/>
    </xf>
    <xf numFmtId="0" fontId="11" fillId="0" borderId="2" xfId="4" applyFont="1" applyBorder="1" applyAlignment="1">
      <alignment horizontal="right" vertical="center" wrapText="1" readingOrder="2"/>
    </xf>
    <xf numFmtId="164" fontId="0" fillId="0" borderId="0" xfId="1" applyFont="1"/>
    <xf numFmtId="164" fontId="0" fillId="0" borderId="0" xfId="1" applyFont="1" applyFill="1"/>
    <xf numFmtId="0" fontId="2" fillId="0" borderId="2" xfId="4" applyBorder="1" applyAlignment="1">
      <alignment horizontal="right" readingOrder="2"/>
    </xf>
    <xf numFmtId="0" fontId="2" fillId="0" borderId="2" xfId="4" applyBorder="1"/>
    <xf numFmtId="165" fontId="11" fillId="0" borderId="2" xfId="2" applyNumberFormat="1" applyFont="1" applyFill="1" applyBorder="1" applyAlignment="1">
      <alignment horizontal="center" wrapText="1" readingOrder="2"/>
    </xf>
    <xf numFmtId="165" fontId="0" fillId="0" borderId="0" xfId="0" applyNumberFormat="1"/>
    <xf numFmtId="0" fontId="12" fillId="0" borderId="2" xfId="4" applyFont="1" applyBorder="1" applyAlignment="1">
      <alignment horizontal="right" vertical="center" wrapText="1" readingOrder="2"/>
    </xf>
    <xf numFmtId="167" fontId="2" fillId="0" borderId="2" xfId="3" applyNumberFormat="1" applyFont="1" applyFill="1" applyBorder="1" applyAlignment="1">
      <alignment horizontal="right" vertical="center" wrapText="1" readingOrder="2"/>
    </xf>
    <xf numFmtId="167" fontId="6" fillId="0" borderId="2" xfId="3" applyNumberFormat="1" applyFont="1" applyFill="1" applyBorder="1" applyAlignment="1">
      <alignment horizontal="right" vertical="center" wrapText="1" readingOrder="2"/>
    </xf>
    <xf numFmtId="165" fontId="7" fillId="0" borderId="2" xfId="3" applyNumberFormat="1" applyFont="1" applyFill="1" applyBorder="1" applyAlignment="1">
      <alignment horizontal="center" wrapText="1" readingOrder="2"/>
    </xf>
    <xf numFmtId="0" fontId="0" fillId="0" borderId="0" xfId="0" applyAlignment="1">
      <alignment wrapText="1"/>
    </xf>
    <xf numFmtId="165" fontId="2" fillId="0" borderId="2" xfId="4" applyNumberFormat="1" applyFill="1" applyBorder="1" applyAlignment="1">
      <alignment horizontal="center"/>
    </xf>
    <xf numFmtId="0" fontId="0" fillId="0" borderId="0" xfId="0" applyFill="1"/>
    <xf numFmtId="165" fontId="14" fillId="5" borderId="1" xfId="5" applyNumberFormat="1" applyFont="1" applyBorder="1" applyAlignment="1">
      <alignment horizontal="center" vertical="center" wrapText="1"/>
    </xf>
  </cellXfs>
  <cellStyles count="6">
    <cellStyle name="Comma" xfId="1" builtinId="3"/>
    <cellStyle name="Comma 2" xfId="3"/>
    <cellStyle name="Good" xfId="5" builtinId="26"/>
    <cellStyle name="Normal" xfId="0" builtinId="0"/>
    <cellStyle name="Normal 2" xfId="4"/>
    <cellStyle name="Percent" xfId="2" builtinId="5"/>
  </cellStyles>
  <dxfs count="19">
    <dxf>
      <font>
        <strike val="0"/>
        <outline val="0"/>
        <shadow val="0"/>
        <u val="none"/>
        <vertAlign val="baseline"/>
        <sz val="14"/>
        <color rgb="FF006100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3" formatCode="0%"/>
      <alignment horizontal="center" vertical="bottom" textRotation="0" wrapText="1" indent="0" justifyLastLine="0" shrinkToFit="0" readingOrder="2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5" formatCode="&quot;₪&quot;\ 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5" formatCode="&quot;₪&quot;\ 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ptos Narrow"/>
        <scheme val="minor"/>
      </font>
      <numFmt numFmtId="165" formatCode="&quot;₪&quot;\ #,##0"/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2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5" formatCode="&quot;₪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5" formatCode="&quot;₪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&quot;₪&quot;\ 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5" formatCode="&quot;₪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ptos Narrow"/>
        <scheme val="minor"/>
      </font>
      <numFmt numFmtId="165" formatCode="&quot;₪&quot;\ #,##0"/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504;&#1497;&#1492;&#1493;&#1500;%20&#1492;&#1506;&#1502;&#1493;&#1514;&#1492;\&#1493;&#1506;&#1491;%20&#1502;&#1504;&#1492;&#1500;\&#1497;&#1513;&#1497;&#1489;&#1493;&#1514;%20&#1493;&#1506;&#1491;\2022\&#1491;&#1510;&#1502;&#1489;&#1512;\&#1502;&#1505;&#1502;&#1499;&#1497;&#1501;%20&#1504;&#1500;&#1493;&#1493;&#1497;&#1501;\&#1514;&#1499;&#1504;&#1493;&#1503;%20&#1514;&#1511;&#1510;&#1497;&#1489;%202023%20&#1502;&#1488;&#1493;&#1513;&#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499;&#1505;&#1508;&#1497;&#1501;\&#1514;&#1511;&#1510;&#1497;&#1489;\2023\&#1514;&#1499;&#1504;&#1493;&#1503;%20&#1502;&#1493;&#1500;%20&#1489;&#1497;&#1510;&#1493;&#1506;\Q3\&#1514;&#1499;&#1504;&#1493;&#1503;%20&#1502;&#1493;&#1500;%20&#1489;&#1497;&#1510;&#1493;&#1506;%20Q3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499;&#1505;&#1508;&#1497;&#1501;\&#1514;&#1511;&#1510;&#1497;&#1489;\2024\&#1514;&#1499;&#1504;&#1493;&#1503;%20&#1502;&#1493;&#1500;%20&#1489;&#1497;&#1510;&#1493;&#1506;\Q4\&#1514;&#1499;&#1504;&#1493;&#1503;%20&#1502;&#1493;&#1500;%20&#1489;&#1497;&#1510;&#1493;&#1506;%20Q4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לופות תקציב 2023"/>
      <sheetName val="נתונים"/>
    </sheetNames>
    <sheetDataSet>
      <sheetData sheetId="0"/>
      <sheetData sheetId="1">
        <row r="19">
          <cell r="B19">
            <v>44</v>
          </cell>
        </row>
        <row r="20">
          <cell r="B20">
            <v>46.687684729064046</v>
          </cell>
        </row>
        <row r="22">
          <cell r="B22">
            <v>49</v>
          </cell>
        </row>
        <row r="32">
          <cell r="B32">
            <v>282500</v>
          </cell>
        </row>
        <row r="33">
          <cell r="B33">
            <v>0.02</v>
          </cell>
        </row>
        <row r="35">
          <cell r="B35">
            <v>454</v>
          </cell>
        </row>
        <row r="36">
          <cell r="B36">
            <v>8482</v>
          </cell>
        </row>
        <row r="37">
          <cell r="B37">
            <v>20000</v>
          </cell>
        </row>
        <row r="38">
          <cell r="B38">
            <v>-0.35</v>
          </cell>
        </row>
        <row r="40">
          <cell r="B40">
            <v>1200</v>
          </cell>
        </row>
        <row r="41">
          <cell r="B41">
            <v>400</v>
          </cell>
        </row>
        <row r="42">
          <cell r="B42">
            <v>0.70489510489510487</v>
          </cell>
        </row>
        <row r="44">
          <cell r="B44">
            <v>2.5000000000000001E-2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שום בפועל "/>
      <sheetName val="תקציב 2023"/>
      <sheetName val="ביצוע Q3"/>
      <sheetName val="תכנון מול ביצוע Q3 2023"/>
      <sheetName val="ביצוע שנתי"/>
    </sheetNames>
    <sheetDataSet>
      <sheetData sheetId="0">
        <row r="134">
          <cell r="W134">
            <v>8913825</v>
          </cell>
        </row>
      </sheetData>
      <sheetData sheetId="1"/>
      <sheetData sheetId="2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כנון מול ביצוע  "/>
      <sheetName val="Sheet2"/>
      <sheetName val="Sheet1"/>
      <sheetName val="רישום בפועל "/>
      <sheetName val="תקציב מאושר"/>
    </sheetNames>
    <sheetDataSet>
      <sheetData sheetId="0" refreshError="1"/>
      <sheetData sheetId="1" refreshError="1"/>
      <sheetData sheetId="2" refreshError="1"/>
      <sheetData sheetId="3">
        <row r="178">
          <cell r="X178">
            <v>12665159</v>
          </cell>
        </row>
        <row r="185">
          <cell r="X185">
            <v>342736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id="1" name="Table65" displayName="Table65" ref="A2:F5" totalsRowShown="0" headerRowDxfId="0" headerRowBorderDxfId="18" headerRowCellStyle="Good">
  <autoFilter ref="A2:F5"/>
  <tableColumns count="6">
    <tableColumn id="1" name="תקציר"/>
    <tableColumn id="2" name="תכנון 2024"/>
    <tableColumn id="7" name="שינויים תקציביים"/>
    <tableColumn id="4" name="ביצוע "/>
    <tableColumn id="5" name="חוסר"/>
    <tableColumn id="6" name="אחוז ביצוע" dataCellStyle="Perc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7" displayName="Table7" ref="A30:F98" totalsRowShown="0" headerRowDxfId="17" dataDxfId="15" headerRowBorderDxfId="16" tableBorderDxfId="14" headerRowCellStyle="Normal 2" dataCellStyle="Normal 2">
  <autoFilter ref="A30:F98"/>
  <tableColumns count="6">
    <tableColumn id="1" name="הוצאות" dataDxfId="13" dataCellStyle="Normal 2"/>
    <tableColumn id="2" name="תכנון 2024" dataDxfId="12" dataCellStyle="Normal 2"/>
    <tableColumn id="13" name="שינויים תקציביים" dataDxfId="11" dataCellStyle="Normal 2"/>
    <tableColumn id="4" name="ביצוע  " dataDxfId="10" dataCellStyle="Normal 2"/>
    <tableColumn id="5" name="יתרה" dataDxfId="9" dataCellStyle="Normal 2"/>
    <tableColumn id="6" name="אחוז ביצוע" dataDxfId="8" dataCellStyle="Percent">
      <calculatedColumnFormula>D31/(Table7[[#This Row],[שינויים תקציביים]]+Table7[[#This Row],[תכנון 2024]])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9" displayName="Table19" ref="A7:F27" totalsRowShown="0" headerRowDxfId="7" dataDxfId="5" headerRowBorderDxfId="6" tableBorderDxfId="4" headerRowCellStyle="Normal 2" dataCellStyle="Normal 2">
  <autoFilter ref="A7:F27"/>
  <tableColumns count="6">
    <tableColumn id="1" name="הכנסות"/>
    <tableColumn id="2" name="תכנון 2024"/>
    <tableColumn id="7" name="שינויים תקציביים"/>
    <tableColumn id="4" name="ביצוע " dataDxfId="3" dataCellStyle="Normal 2"/>
    <tableColumn id="5" name="חוסר" dataDxfId="2" dataCellStyle="Normal 2"/>
    <tableColumn id="6" name="אחוז ביצוע" dataDxfId="1" dataCellStyle="Percent">
      <calculatedColumnFormula>D8/(Table19[[#This Row],[תכנון 2024]]+Table19[[#This Row],[שינויים תקציביים]])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"/>
  <sheetViews>
    <sheetView rightToLeft="1" tabSelected="1" topLeftCell="A13" zoomScaleNormal="100" workbookViewId="0">
      <selection activeCell="G12" sqref="G12"/>
    </sheetView>
  </sheetViews>
  <sheetFormatPr defaultRowHeight="14.25" x14ac:dyDescent="0.2"/>
  <cols>
    <col min="1" max="1" width="38.5" customWidth="1"/>
    <col min="2" max="4" width="20.625" customWidth="1"/>
    <col min="5" max="5" width="18.875" customWidth="1"/>
    <col min="6" max="6" width="10.25" customWidth="1"/>
    <col min="9" max="9" width="22.875" customWidth="1"/>
    <col min="10" max="10" width="9.125" bestFit="1" customWidth="1"/>
    <col min="11" max="11" width="16.125" customWidth="1"/>
    <col min="12" max="12" width="15.625" customWidth="1"/>
    <col min="13" max="13" width="13.125" customWidth="1"/>
    <col min="22" max="22" width="21" customWidth="1"/>
  </cols>
  <sheetData>
    <row r="2" spans="1:6" s="50" customFormat="1" ht="36" x14ac:dyDescent="0.2">
      <c r="A2" s="53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</row>
    <row r="3" spans="1:6" ht="15.75" x14ac:dyDescent="0.25">
      <c r="A3" s="1" t="str">
        <f>A27</f>
        <v>סה"כ  הכנסות צפויות</v>
      </c>
      <c r="B3" s="2">
        <f>B27</f>
        <v>15087000</v>
      </c>
      <c r="C3" s="2"/>
      <c r="D3" s="2">
        <f>D27</f>
        <v>14848262</v>
      </c>
      <c r="E3" s="2">
        <f>E27</f>
        <v>486238</v>
      </c>
      <c r="F3" s="3">
        <f>F27</f>
        <v>0.96819968766199682</v>
      </c>
    </row>
    <row r="4" spans="1:6" ht="15.75" x14ac:dyDescent="0.25">
      <c r="A4" s="1" t="str">
        <f>A98</f>
        <v>סה"כ הוצאות</v>
      </c>
      <c r="B4" s="2">
        <f>B98</f>
        <v>15027000</v>
      </c>
      <c r="C4" s="2"/>
      <c r="D4" s="2">
        <f>D98</f>
        <v>14845658</v>
      </c>
      <c r="E4" s="2">
        <f>E98</f>
        <v>319145</v>
      </c>
      <c r="F4" s="3">
        <f>F98</f>
        <v>0.97183206281769707</v>
      </c>
    </row>
    <row r="5" spans="1:6" ht="20.25" x14ac:dyDescent="0.3">
      <c r="A5" s="4" t="s">
        <v>6</v>
      </c>
      <c r="B5" s="5">
        <f>B3-B4</f>
        <v>60000</v>
      </c>
      <c r="C5" s="5"/>
      <c r="D5" s="5">
        <f t="shared" ref="D5" si="0">D3-D4</f>
        <v>2604</v>
      </c>
      <c r="E5" s="5"/>
      <c r="F5" s="6"/>
    </row>
    <row r="7" spans="1:6" s="50" customFormat="1" ht="40.5" x14ac:dyDescent="0.3">
      <c r="A7" s="7" t="s">
        <v>7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</row>
    <row r="8" spans="1:6" ht="21.6" customHeight="1" x14ac:dyDescent="0.25">
      <c r="A8" s="9" t="s">
        <v>8</v>
      </c>
      <c r="B8" s="10">
        <f>SUM(B9,B13)</f>
        <v>14360000</v>
      </c>
      <c r="C8" s="10"/>
      <c r="D8" s="10">
        <f t="shared" ref="D8:E8" si="1">SUM(D9,D13)</f>
        <v>14167002</v>
      </c>
      <c r="E8" s="10">
        <f t="shared" si="1"/>
        <v>192998</v>
      </c>
      <c r="F8" s="11">
        <f>D8/(Table19[[#This Row],[תכנון 2024]]+Table19[[#This Row],[שינויים תקציביים]])</f>
        <v>0.98656002785515318</v>
      </c>
    </row>
    <row r="9" spans="1:6" ht="20.100000000000001" customHeight="1" x14ac:dyDescent="0.25">
      <c r="A9" s="12" t="s">
        <v>9</v>
      </c>
      <c r="B9" s="13">
        <f>SUM(B10,B12)</f>
        <v>13130000</v>
      </c>
      <c r="C9" s="13"/>
      <c r="D9" s="13">
        <f t="shared" ref="D9:E9" si="2">SUM(D10,D12)</f>
        <v>13007895</v>
      </c>
      <c r="E9" s="13">
        <f t="shared" si="2"/>
        <v>122105</v>
      </c>
      <c r="F9" s="11">
        <f>D9/(Table19[[#This Row],[תכנון 2024]]+Table19[[#This Row],[שינויים תקציביים]])</f>
        <v>0.99070030464584924</v>
      </c>
    </row>
    <row r="10" spans="1:6" ht="15.95" customHeight="1" x14ac:dyDescent="0.25">
      <c r="A10" s="14" t="s">
        <v>10</v>
      </c>
      <c r="B10" s="15">
        <f>SUBTOTAL(109,B11:B11)</f>
        <v>12600000</v>
      </c>
      <c r="C10" s="15"/>
      <c r="D10" s="15">
        <f t="shared" ref="D10:E10" si="3">SUBTOTAL(109,D11:D11)</f>
        <v>12665159</v>
      </c>
      <c r="E10" s="15">
        <f t="shared" si="3"/>
        <v>-65159</v>
      </c>
      <c r="F10" s="11">
        <f>D10/(Table19[[#This Row],[תכנון 2024]]+Table19[[#This Row],[שינויים תקציביים]])</f>
        <v>1.0051713492063492</v>
      </c>
    </row>
    <row r="11" spans="1:6" ht="15.95" customHeight="1" x14ac:dyDescent="0.2">
      <c r="A11" s="16" t="s">
        <v>11</v>
      </c>
      <c r="B11" s="17">
        <v>12600000</v>
      </c>
      <c r="C11" s="17"/>
      <c r="D11" s="18">
        <f>'[3]רישום בפועל '!X178</f>
        <v>12665159</v>
      </c>
      <c r="E11" s="18">
        <f>B11-D11</f>
        <v>-65159</v>
      </c>
      <c r="F11" s="19">
        <f>D11/(Table19[[#This Row],[תכנון 2024]]+Table19[[#This Row],[שינויים תקציביים]])</f>
        <v>1.0051713492063492</v>
      </c>
    </row>
    <row r="12" spans="1:6" ht="15.95" customHeight="1" x14ac:dyDescent="0.25">
      <c r="A12" s="20" t="s">
        <v>12</v>
      </c>
      <c r="B12" s="15">
        <v>530000</v>
      </c>
      <c r="C12" s="15"/>
      <c r="D12" s="18">
        <f>'[3]רישום בפועל '!X185</f>
        <v>342736</v>
      </c>
      <c r="E12" s="18">
        <f t="shared" ref="E12:E14" si="4">B12-D12</f>
        <v>187264</v>
      </c>
      <c r="F12" s="19">
        <f>D12/(Table19[[#This Row],[תכנון 2024]]+Table19[[#This Row],[שינויים תקציביים]])</f>
        <v>0.64667169811320757</v>
      </c>
    </row>
    <row r="13" spans="1:6" ht="17.100000000000001" customHeight="1" x14ac:dyDescent="0.25">
      <c r="A13" s="21" t="s">
        <v>13</v>
      </c>
      <c r="B13" s="22">
        <v>1230000</v>
      </c>
      <c r="C13" s="22"/>
      <c r="D13" s="18">
        <v>1159107</v>
      </c>
      <c r="E13" s="18">
        <f t="shared" si="4"/>
        <v>70893</v>
      </c>
      <c r="F13" s="19">
        <f>D13/(Table19[[#This Row],[תכנון 2024]]+Table19[[#This Row],[שינויים תקציביים]])</f>
        <v>0.9423634146341463</v>
      </c>
    </row>
    <row r="14" spans="1:6" ht="18.600000000000001" customHeight="1" x14ac:dyDescent="0.2">
      <c r="A14" s="23" t="s">
        <v>14</v>
      </c>
      <c r="B14" s="17">
        <v>15000</v>
      </c>
      <c r="C14" s="17"/>
      <c r="D14" s="18">
        <v>15760</v>
      </c>
      <c r="E14" s="18">
        <f t="shared" si="4"/>
        <v>-760</v>
      </c>
      <c r="F14" s="19">
        <f>D14/(Table19[[#This Row],[תכנון 2024]]+Table19[[#This Row],[שינויים תקציביים]])</f>
        <v>1.0506666666666666</v>
      </c>
    </row>
    <row r="15" spans="1:6" ht="22.5" customHeight="1" x14ac:dyDescent="0.25">
      <c r="A15" s="24" t="s">
        <v>15</v>
      </c>
      <c r="B15" s="25">
        <f>SUM(B16:B16)</f>
        <v>3000</v>
      </c>
      <c r="C15" s="25"/>
      <c r="D15" s="25">
        <f t="shared" ref="D15:E15" si="5">SUM(D16:D16)</f>
        <v>4690</v>
      </c>
      <c r="E15" s="25">
        <f t="shared" si="5"/>
        <v>-1690</v>
      </c>
      <c r="F15" s="11">
        <f>D15/(Table19[[#This Row],[תכנון 2024]]+Table19[[#This Row],[שינויים תקציביים]])</f>
        <v>1.5633333333333332</v>
      </c>
    </row>
    <row r="16" spans="1:6" ht="14.1" customHeight="1" x14ac:dyDescent="0.2">
      <c r="A16" s="16" t="s">
        <v>16</v>
      </c>
      <c r="B16" s="17">
        <v>3000</v>
      </c>
      <c r="C16" s="17"/>
      <c r="D16" s="18">
        <v>4690</v>
      </c>
      <c r="E16" s="18">
        <f>B16-D16</f>
        <v>-1690</v>
      </c>
      <c r="F16" s="19">
        <f>D16/(Table19[[#This Row],[תכנון 2024]]+Table19[[#This Row],[שינויים תקציביים]])</f>
        <v>1.5633333333333332</v>
      </c>
    </row>
    <row r="17" spans="1:6" ht="21" customHeight="1" x14ac:dyDescent="0.25">
      <c r="A17" s="24" t="s">
        <v>17</v>
      </c>
      <c r="B17" s="25">
        <f>SUM(B18:B20)</f>
        <v>412000</v>
      </c>
      <c r="C17" s="25">
        <f t="shared" ref="C17:D17" si="6">SUM(C18:C20)</f>
        <v>248950</v>
      </c>
      <c r="D17" s="25">
        <f t="shared" si="6"/>
        <v>358647</v>
      </c>
      <c r="E17" s="25">
        <f>SUM(E18:E18)</f>
        <v>300853</v>
      </c>
      <c r="F17" s="11">
        <f>D17/(Table19[[#This Row],[תכנון 2024]]+Table19[[#This Row],[שינויים תקציביים]])</f>
        <v>0.54262349648233599</v>
      </c>
    </row>
    <row r="18" spans="1:6" ht="27" customHeight="1" x14ac:dyDescent="0.2">
      <c r="A18" s="26" t="s">
        <v>18</v>
      </c>
      <c r="B18" s="27">
        <v>412000</v>
      </c>
      <c r="C18" s="27"/>
      <c r="D18" s="18">
        <f>D79</f>
        <v>111147</v>
      </c>
      <c r="E18" s="18">
        <f t="shared" ref="E18:E20" si="7">B18-D18</f>
        <v>300853</v>
      </c>
      <c r="F18" s="19">
        <f>D18/(Table19[[#This Row],[תכנון 2024]]+Table19[[#This Row],[שינויים תקציביים]])</f>
        <v>0.26977427184466019</v>
      </c>
    </row>
    <row r="19" spans="1:6" ht="27" customHeight="1" x14ac:dyDescent="0.2">
      <c r="A19" s="16" t="s">
        <v>19</v>
      </c>
      <c r="B19" s="17"/>
      <c r="C19" s="18">
        <f t="shared" ref="C19" si="8">(1820+1680)*3.7</f>
        <v>12950</v>
      </c>
      <c r="D19" s="18">
        <f>(1820+1680)*3.7</f>
        <v>12950</v>
      </c>
      <c r="E19" s="18">
        <f t="shared" si="7"/>
        <v>-12950</v>
      </c>
      <c r="F19" s="19">
        <f>D19/(Table19[[#This Row],[תכנון 2024]]+Table19[[#This Row],[שינויים תקציביים]])</f>
        <v>1</v>
      </c>
    </row>
    <row r="20" spans="1:6" ht="27" customHeight="1" x14ac:dyDescent="0.2">
      <c r="A20" s="16" t="s">
        <v>20</v>
      </c>
      <c r="B20" s="17"/>
      <c r="C20" s="18">
        <f>C36+C80</f>
        <v>236000</v>
      </c>
      <c r="D20" s="18">
        <f>D36+D80</f>
        <v>234550</v>
      </c>
      <c r="E20" s="18">
        <f t="shared" si="7"/>
        <v>-234550</v>
      </c>
      <c r="F20" s="19">
        <f>D20/(Table19[[#This Row],[תכנון 2024]]+Table19[[#This Row],[שינויים תקציביים]])</f>
        <v>0.99385593220338986</v>
      </c>
    </row>
    <row r="21" spans="1:6" ht="24" customHeight="1" x14ac:dyDescent="0.25">
      <c r="A21" s="28" t="s">
        <v>21</v>
      </c>
      <c r="B21" s="29">
        <f>SUBTOTAL(109,B9,B13,B15,B17)</f>
        <v>14775000</v>
      </c>
      <c r="C21" s="29">
        <f>SUBTOTAL(109,C9,C13,C15,C17)</f>
        <v>248950</v>
      </c>
      <c r="D21" s="29">
        <f>SUBTOTAL(109,D9,D13,D15,D17)</f>
        <v>14530339</v>
      </c>
      <c r="E21" s="29">
        <f>SUBTOTAL(109,E9,E13,E15,E17)</f>
        <v>492161</v>
      </c>
      <c r="F21" s="11">
        <f>D21/(Table19[[#This Row],[תכנון 2024]]+Table19[[#This Row],[שינויים תקציביים]])</f>
        <v>0.96714505839010378</v>
      </c>
    </row>
    <row r="22" spans="1:6" ht="20.100000000000001" customHeight="1" x14ac:dyDescent="0.25">
      <c r="A22" s="21" t="s">
        <v>22</v>
      </c>
      <c r="B22" s="22">
        <f>SUM(B23:B23)</f>
        <v>300000</v>
      </c>
      <c r="C22" s="22"/>
      <c r="D22" s="22">
        <f t="shared" ref="D22:E22" si="9">SUM(D23:D23)</f>
        <v>300000</v>
      </c>
      <c r="E22" s="22">
        <f t="shared" si="9"/>
        <v>0</v>
      </c>
      <c r="F22" s="11">
        <f>D22/(Table19[[#This Row],[תכנון 2024]]+Table19[[#This Row],[שינויים תקציביים]])</f>
        <v>1</v>
      </c>
    </row>
    <row r="23" spans="1:6" ht="15.6" customHeight="1" x14ac:dyDescent="0.2">
      <c r="A23" s="23" t="s">
        <v>23</v>
      </c>
      <c r="B23" s="30">
        <v>300000</v>
      </c>
      <c r="C23" s="30"/>
      <c r="D23" s="18">
        <v>300000</v>
      </c>
      <c r="E23" s="18">
        <f>B23-D23</f>
        <v>0</v>
      </c>
      <c r="F23" s="19">
        <f>D23/(Table19[[#This Row],[תכנון 2024]]+Table19[[#This Row],[שינויים תקציביים]])</f>
        <v>1</v>
      </c>
    </row>
    <row r="24" spans="1:6" ht="20.100000000000001" customHeight="1" x14ac:dyDescent="0.25">
      <c r="A24" s="31" t="s">
        <v>24</v>
      </c>
      <c r="B24" s="22">
        <f>SUM(B25:B26)</f>
        <v>12000</v>
      </c>
      <c r="C24" s="22"/>
      <c r="D24" s="22">
        <f t="shared" ref="D24:E24" si="10">SUM(D25:D26)</f>
        <v>17923</v>
      </c>
      <c r="E24" s="22">
        <f t="shared" si="10"/>
        <v>-5923</v>
      </c>
      <c r="F24" s="11">
        <f>D24/(Table19[[#This Row],[תכנון 2024]]+Table19[[#This Row],[שינויים תקציביים]])</f>
        <v>1.4935833333333333</v>
      </c>
    </row>
    <row r="25" spans="1:6" ht="15.6" customHeight="1" x14ac:dyDescent="0.2">
      <c r="A25" s="23" t="s">
        <v>25</v>
      </c>
      <c r="B25" s="30">
        <v>2000</v>
      </c>
      <c r="C25" s="30"/>
      <c r="D25" s="18">
        <f>526+2204+5193</f>
        <v>7923</v>
      </c>
      <c r="E25" s="18">
        <f t="shared" ref="E25:E26" si="11">B25-D25</f>
        <v>-5923</v>
      </c>
      <c r="F25" s="19">
        <f>D25/(Table19[[#This Row],[תכנון 2024]]+Table19[[#This Row],[שינויים תקציביים]])</f>
        <v>3.9615</v>
      </c>
    </row>
    <row r="26" spans="1:6" ht="15.6" customHeight="1" x14ac:dyDescent="0.2">
      <c r="A26" s="23" t="s">
        <v>26</v>
      </c>
      <c r="B26" s="17">
        <v>10000</v>
      </c>
      <c r="C26" s="17"/>
      <c r="D26" s="18">
        <v>10000</v>
      </c>
      <c r="E26" s="18">
        <f t="shared" si="11"/>
        <v>0</v>
      </c>
      <c r="F26" s="19">
        <f>D26/(Table19[[#This Row],[תכנון 2024]]+Table19[[#This Row],[שינויים תקציביים]])</f>
        <v>1</v>
      </c>
    </row>
    <row r="27" spans="1:6" ht="27" customHeight="1" x14ac:dyDescent="0.3">
      <c r="A27" s="32" t="s">
        <v>27</v>
      </c>
      <c r="B27" s="33">
        <f>B21+B22+B24</f>
        <v>15087000</v>
      </c>
      <c r="C27" s="33">
        <f>C21+C22+C24</f>
        <v>248950</v>
      </c>
      <c r="D27" s="33">
        <f t="shared" ref="D27:E27" si="12">D21+D22+D24</f>
        <v>14848262</v>
      </c>
      <c r="E27" s="33">
        <f t="shared" si="12"/>
        <v>486238</v>
      </c>
      <c r="F27" s="11">
        <f>D27/(Table19[[#This Row],[תכנון 2024]]+Table19[[#This Row],[שינויים תקציביים]])</f>
        <v>0.96819968766199682</v>
      </c>
    </row>
    <row r="30" spans="1:6" ht="40.5" x14ac:dyDescent="0.3">
      <c r="A30" s="7" t="s">
        <v>28</v>
      </c>
      <c r="B30" s="8" t="s">
        <v>1</v>
      </c>
      <c r="C30" s="8" t="s">
        <v>2</v>
      </c>
      <c r="D30" s="8" t="s">
        <v>29</v>
      </c>
      <c r="E30" s="8" t="s">
        <v>30</v>
      </c>
      <c r="F30" s="8" t="s">
        <v>5</v>
      </c>
    </row>
    <row r="31" spans="1:6" ht="18" x14ac:dyDescent="0.25">
      <c r="A31" s="34" t="s">
        <v>31</v>
      </c>
      <c r="B31" s="35">
        <f>SUM(B32:B38)</f>
        <v>7965000</v>
      </c>
      <c r="C31" s="35">
        <f>SUM(C32:C38)</f>
        <v>133000</v>
      </c>
      <c r="D31" s="35">
        <f>SUM(D32:D38)</f>
        <v>7770294</v>
      </c>
      <c r="E31" s="35">
        <f>SUM(E32:E38)</f>
        <v>327706</v>
      </c>
      <c r="F31" s="36">
        <f>D31/(Table7[[#This Row],[שינויים תקציביים]]+Table7[[#This Row],[תכנון 2024]])</f>
        <v>0.95953247715485301</v>
      </c>
    </row>
    <row r="32" spans="1:6" x14ac:dyDescent="0.2">
      <c r="A32" s="23" t="s">
        <v>32</v>
      </c>
      <c r="B32" s="18">
        <v>1780000</v>
      </c>
      <c r="C32" s="18"/>
      <c r="D32" s="18">
        <f>1739892-13860-7000</f>
        <v>1719032</v>
      </c>
      <c r="E32" s="18">
        <f>B32+Table7[[#This Row],[שינויים תקציביים]]-D32</f>
        <v>60968</v>
      </c>
      <c r="F32" s="19">
        <f>D32/(Table7[[#This Row],[שינויים תקציביים]]+Table7[[#This Row],[תכנון 2024]])</f>
        <v>0.9657483146067416</v>
      </c>
    </row>
    <row r="33" spans="1:10" x14ac:dyDescent="0.2">
      <c r="A33" s="23" t="s">
        <v>33</v>
      </c>
      <c r="B33" s="18">
        <v>4150000</v>
      </c>
      <c r="C33" s="18"/>
      <c r="D33" s="18">
        <f>4016233-7700-54670-52000-14500</f>
        <v>3887363</v>
      </c>
      <c r="E33" s="18">
        <f>B33+Table7[[#This Row],[שינויים תקציביים]]-D33</f>
        <v>262637</v>
      </c>
      <c r="F33" s="19">
        <f>D33/(Table7[[#This Row],[שינויים תקציביים]]+Table7[[#This Row],[תכנון 2024]])</f>
        <v>0.93671397590361449</v>
      </c>
    </row>
    <row r="34" spans="1:10" x14ac:dyDescent="0.2">
      <c r="A34" s="23" t="s">
        <v>15</v>
      </c>
      <c r="B34" s="18">
        <v>1025000</v>
      </c>
      <c r="C34" s="18"/>
      <c r="D34" s="18">
        <f>1066636-20020-20500</f>
        <v>1026116</v>
      </c>
      <c r="E34" s="18">
        <f>B34+Table7[[#This Row],[שינויים תקציביים]]-D34</f>
        <v>-1116</v>
      </c>
      <c r="F34" s="19">
        <f>D34/(Table7[[#This Row],[שינויים תקציביים]]+Table7[[#This Row],[תכנון 2024]])</f>
        <v>1.0010887804878048</v>
      </c>
    </row>
    <row r="35" spans="1:10" x14ac:dyDescent="0.2">
      <c r="A35" s="23" t="s">
        <v>34</v>
      </c>
      <c r="B35" s="18">
        <v>780000</v>
      </c>
      <c r="C35" s="18"/>
      <c r="D35" s="18">
        <f>835380-10780-16000-20000</f>
        <v>788600</v>
      </c>
      <c r="E35" s="18">
        <f>B35+Table7[[#This Row],[שינויים תקציביים]]-D35</f>
        <v>-8600</v>
      </c>
      <c r="F35" s="19">
        <f>D35/(Table7[[#This Row],[שינויים תקציביים]]+Table7[[#This Row],[תכנון 2024]])</f>
        <v>1.0110256410256411</v>
      </c>
    </row>
    <row r="36" spans="1:10" x14ac:dyDescent="0.2">
      <c r="A36" s="23" t="s">
        <v>20</v>
      </c>
      <c r="B36" s="18"/>
      <c r="C36" s="18">
        <v>133000</v>
      </c>
      <c r="D36" s="18">
        <f>112153+20000</f>
        <v>132153</v>
      </c>
      <c r="E36" s="18">
        <f>B36+Table7[[#This Row],[שינויים תקציביים]]-D36</f>
        <v>847</v>
      </c>
      <c r="F36" s="19">
        <f>D36/(Table7[[#This Row],[שינויים תקציביים]]+Table7[[#This Row],[תכנון 2024]])</f>
        <v>0.99363157894736842</v>
      </c>
    </row>
    <row r="37" spans="1:10" x14ac:dyDescent="0.2">
      <c r="A37" s="23" t="s">
        <v>35</v>
      </c>
      <c r="B37" s="18">
        <v>110000</v>
      </c>
      <c r="C37" s="18"/>
      <c r="D37" s="18">
        <v>110000</v>
      </c>
      <c r="E37" s="18">
        <f>B37+Table7[[#This Row],[שינויים תקציביים]]-D37</f>
        <v>0</v>
      </c>
      <c r="F37" s="19">
        <f>D37/(Table7[[#This Row],[שינויים תקציביים]]+Table7[[#This Row],[תכנון 2024]])</f>
        <v>1</v>
      </c>
    </row>
    <row r="38" spans="1:10" x14ac:dyDescent="0.2">
      <c r="A38" s="23" t="s">
        <v>36</v>
      </c>
      <c r="B38" s="18">
        <v>120000</v>
      </c>
      <c r="C38" s="18"/>
      <c r="D38" s="18">
        <v>107030</v>
      </c>
      <c r="E38" s="18">
        <f>B38+Table7[[#This Row],[שינויים תקציביים]]-D38</f>
        <v>12970</v>
      </c>
      <c r="F38" s="19">
        <f>D38/(Table7[[#This Row],[שינויים תקציביים]]+Table7[[#This Row],[תכנון 2024]])</f>
        <v>0.89191666666666669</v>
      </c>
    </row>
    <row r="39" spans="1:10" ht="18" x14ac:dyDescent="0.25">
      <c r="A39" s="34" t="s">
        <v>8</v>
      </c>
      <c r="B39" s="35">
        <f>B40+B59+B52</f>
        <v>3342000</v>
      </c>
      <c r="C39" s="35">
        <f>C40+C59+C52</f>
        <v>0</v>
      </c>
      <c r="D39" s="35">
        <f>D40+D52+D59</f>
        <v>4297189</v>
      </c>
      <c r="E39" s="35">
        <f>E40+E52+E59</f>
        <v>-955189</v>
      </c>
      <c r="F39" s="36">
        <f>D39/(Table7[[#This Row],[שינויים תקציביים]]+Table7[[#This Row],[תכנון 2024]])</f>
        <v>1.2858135846798324</v>
      </c>
    </row>
    <row r="40" spans="1:10" ht="18" x14ac:dyDescent="0.25">
      <c r="A40" s="37" t="s">
        <v>37</v>
      </c>
      <c r="B40" s="38">
        <f>SUBTOTAL(109,B41:B51)</f>
        <v>2350000</v>
      </c>
      <c r="C40" s="38">
        <f>SUBTOTAL(109,C41:C51)</f>
        <v>0</v>
      </c>
      <c r="D40" s="38">
        <f>SUM(D41:D51)</f>
        <v>3496488</v>
      </c>
      <c r="E40" s="38">
        <f>SUM(E41:E51)</f>
        <v>-1146488</v>
      </c>
      <c r="F40" s="36">
        <f>D40/(Table7[[#This Row],[שינויים תקציביים]]+Table7[[#This Row],[תכנון 2024]])</f>
        <v>1.4878672340425532</v>
      </c>
    </row>
    <row r="41" spans="1:10" x14ac:dyDescent="0.2">
      <c r="A41" s="39" t="s">
        <v>38</v>
      </c>
      <c r="B41" s="18">
        <v>450000</v>
      </c>
      <c r="C41" s="18"/>
      <c r="D41" s="18">
        <v>450000</v>
      </c>
      <c r="E41" s="18">
        <f>B41+Table7[[#This Row],[שינויים תקציביים]]-D41</f>
        <v>0</v>
      </c>
      <c r="F41" s="19">
        <f>D41/(Table7[[#This Row],[שינויים תקציביים]]+Table7[[#This Row],[תכנון 2024]])</f>
        <v>1</v>
      </c>
    </row>
    <row r="42" spans="1:10" x14ac:dyDescent="0.2">
      <c r="A42" s="39" t="s">
        <v>39</v>
      </c>
      <c r="B42" s="18">
        <v>215000</v>
      </c>
      <c r="C42" s="18"/>
      <c r="D42" s="18">
        <v>191642</v>
      </c>
      <c r="E42" s="18">
        <f>B42+Table7[[#This Row],[שינויים תקציביים]]-D42</f>
        <v>23358</v>
      </c>
      <c r="F42" s="19">
        <f>D42/(Table7[[#This Row],[שינויים תקציביים]]+Table7[[#This Row],[תכנון 2024]])</f>
        <v>0.89135813953488374</v>
      </c>
    </row>
    <row r="43" spans="1:10" x14ac:dyDescent="0.2">
      <c r="A43" s="39" t="s">
        <v>40</v>
      </c>
      <c r="B43" s="18">
        <v>300000</v>
      </c>
      <c r="C43" s="18"/>
      <c r="D43" s="18">
        <f>463328-155879</f>
        <v>307449</v>
      </c>
      <c r="E43" s="18">
        <f>B43+Table7[[#This Row],[שינויים תקציביים]]-D43</f>
        <v>-7449</v>
      </c>
      <c r="F43" s="19">
        <f>D43/(Table7[[#This Row],[שינויים תקציביים]]+Table7[[#This Row],[תכנון 2024]])</f>
        <v>1.0248299999999999</v>
      </c>
      <c r="I43" s="40"/>
      <c r="J43" s="41"/>
    </row>
    <row r="44" spans="1:10" x14ac:dyDescent="0.2">
      <c r="A44" s="39" t="s">
        <v>41</v>
      </c>
      <c r="B44" s="18">
        <v>360000</v>
      </c>
      <c r="C44" s="18"/>
      <c r="D44" s="18">
        <v>406976</v>
      </c>
      <c r="E44" s="18">
        <f>B44+Table7[[#This Row],[שינויים תקציביים]]-D44</f>
        <v>-46976</v>
      </c>
      <c r="F44" s="19">
        <f>D44/(Table7[[#This Row],[שינויים תקציביים]]+Table7[[#This Row],[תכנון 2024]])</f>
        <v>1.1304888888888889</v>
      </c>
      <c r="I44" s="40"/>
      <c r="J44" s="41"/>
    </row>
    <row r="45" spans="1:10" x14ac:dyDescent="0.2">
      <c r="A45" s="39" t="s">
        <v>42</v>
      </c>
      <c r="B45" s="18">
        <v>465000</v>
      </c>
      <c r="C45" s="18"/>
      <c r="D45" s="18">
        <v>766110</v>
      </c>
      <c r="E45" s="18">
        <f>B45+Table7[[#This Row],[שינויים תקציביים]]-D45</f>
        <v>-301110</v>
      </c>
      <c r="F45" s="19">
        <f>D45/(Table7[[#This Row],[שינויים תקציביים]]+Table7[[#This Row],[תכנון 2024]])</f>
        <v>1.6475483870967742</v>
      </c>
      <c r="I45" s="40"/>
      <c r="J45" s="41"/>
    </row>
    <row r="46" spans="1:10" x14ac:dyDescent="0.2">
      <c r="A46" s="39" t="s">
        <v>43</v>
      </c>
      <c r="B46" s="18">
        <v>120000</v>
      </c>
      <c r="C46" s="18"/>
      <c r="D46" s="18">
        <v>95977</v>
      </c>
      <c r="E46" s="18">
        <f>B46+Table7[[#This Row],[שינויים תקציביים]]-D46</f>
        <v>24023</v>
      </c>
      <c r="F46" s="19">
        <f>D46/(Table7[[#This Row],[שינויים תקציביים]]+Table7[[#This Row],[תכנון 2024]])</f>
        <v>0.79980833333333334</v>
      </c>
      <c r="I46" s="40"/>
      <c r="J46" s="41"/>
    </row>
    <row r="47" spans="1:10" x14ac:dyDescent="0.2">
      <c r="A47" s="39" t="s">
        <v>44</v>
      </c>
      <c r="B47" s="18">
        <v>130000</v>
      </c>
      <c r="C47" s="18"/>
      <c r="D47" s="18">
        <v>189445</v>
      </c>
      <c r="E47" s="18">
        <f>B47+Table7[[#This Row],[שינויים תקציביים]]-D47</f>
        <v>-59445</v>
      </c>
      <c r="F47" s="19">
        <f>D47/(Table7[[#This Row],[שינויים תקציביים]]+Table7[[#This Row],[תכנון 2024]])</f>
        <v>1.4572692307692308</v>
      </c>
      <c r="I47" s="40"/>
      <c r="J47" s="40"/>
    </row>
    <row r="48" spans="1:10" x14ac:dyDescent="0.2">
      <c r="A48" s="39" t="s">
        <v>45</v>
      </c>
      <c r="B48" s="18">
        <v>110000</v>
      </c>
      <c r="C48" s="18"/>
      <c r="D48" s="18">
        <v>144365</v>
      </c>
      <c r="E48" s="18">
        <f>B48+Table7[[#This Row],[שינויים תקציביים]]-D48</f>
        <v>-34365</v>
      </c>
      <c r="F48" s="19">
        <f>D48/(Table7[[#This Row],[שינויים תקציביים]]+Table7[[#This Row],[תכנון 2024]])</f>
        <v>1.3124090909090909</v>
      </c>
      <c r="I48" s="40"/>
      <c r="J48" s="40"/>
    </row>
    <row r="49" spans="1:7" x14ac:dyDescent="0.2">
      <c r="A49" s="23" t="s">
        <v>46</v>
      </c>
      <c r="B49" s="18">
        <v>70000</v>
      </c>
      <c r="C49" s="18"/>
      <c r="D49" s="18">
        <f>583039+351485</f>
        <v>934524</v>
      </c>
      <c r="E49" s="18">
        <f>B49+Table7[[#This Row],[שינויים תקציביים]]-D49</f>
        <v>-864524</v>
      </c>
      <c r="F49" s="19">
        <f>D49/(Table7[[#This Row],[שינויים תקציביים]]+Table7[[#This Row],[תכנון 2024]])</f>
        <v>13.350342857142858</v>
      </c>
    </row>
    <row r="50" spans="1:7" x14ac:dyDescent="0.2">
      <c r="A50" s="42" t="s">
        <v>47</v>
      </c>
      <c r="B50" s="18">
        <v>120000</v>
      </c>
      <c r="C50" s="18"/>
      <c r="D50" s="51"/>
      <c r="E50" s="18">
        <f>B50+Table7[[#This Row],[שינויים תקציביים]]-D50</f>
        <v>120000</v>
      </c>
      <c r="F50" s="19">
        <f>D50/(Table7[[#This Row],[שינויים תקציביים]]+Table7[[#This Row],[תכנון 2024]])</f>
        <v>0</v>
      </c>
      <c r="G50" s="52"/>
    </row>
    <row r="51" spans="1:7" x14ac:dyDescent="0.2">
      <c r="A51" s="23" t="s">
        <v>48</v>
      </c>
      <c r="B51" s="18">
        <v>10000</v>
      </c>
      <c r="C51" s="18"/>
      <c r="D51" s="18">
        <v>10000</v>
      </c>
      <c r="E51" s="18">
        <f>B51+Table7[[#This Row],[שינויים תקציביים]]-D51</f>
        <v>0</v>
      </c>
      <c r="F51" s="19">
        <f>D51/(Table7[[#This Row],[שינויים תקציביים]]+Table7[[#This Row],[תכנון 2024]])</f>
        <v>1</v>
      </c>
    </row>
    <row r="52" spans="1:7" ht="18" x14ac:dyDescent="0.25">
      <c r="A52" s="37" t="s">
        <v>49</v>
      </c>
      <c r="B52" s="38">
        <f>SUM(B53:B58)</f>
        <v>57000</v>
      </c>
      <c r="C52" s="38">
        <f>SUM(C53:C58)</f>
        <v>0</v>
      </c>
      <c r="D52" s="38">
        <f>SUM(D53:D58)</f>
        <v>39918</v>
      </c>
      <c r="E52" s="38">
        <f>SUM(E53:E58)</f>
        <v>17082</v>
      </c>
      <c r="F52" s="36">
        <f>D52/(Table7[[#This Row],[שינויים תקציביים]]+Table7[[#This Row],[תכנון 2024]])</f>
        <v>0.70031578947368422</v>
      </c>
    </row>
    <row r="53" spans="1:7" x14ac:dyDescent="0.2">
      <c r="A53" s="23" t="s">
        <v>50</v>
      </c>
      <c r="B53" s="18">
        <v>5000</v>
      </c>
      <c r="C53" s="18"/>
      <c r="D53" s="18">
        <v>963</v>
      </c>
      <c r="E53" s="18">
        <f>B53+Table7[[#This Row],[שינויים תקציביים]]-D53</f>
        <v>4037</v>
      </c>
      <c r="F53" s="19">
        <f>D53/(Table7[[#This Row],[שינויים תקציביים]]+Table7[[#This Row],[תכנון 2024]])</f>
        <v>0.19259999999999999</v>
      </c>
    </row>
    <row r="54" spans="1:7" x14ac:dyDescent="0.2">
      <c r="A54" s="23" t="s">
        <v>51</v>
      </c>
      <c r="B54" s="18">
        <f>500*4</f>
        <v>2000</v>
      </c>
      <c r="C54" s="18"/>
      <c r="D54" s="18"/>
      <c r="E54" s="18">
        <f>B54+Table7[[#This Row],[שינויים תקציביים]]-D54</f>
        <v>2000</v>
      </c>
      <c r="F54" s="19">
        <f>D54/(Table7[[#This Row],[שינויים תקציביים]]+Table7[[#This Row],[תכנון 2024]])</f>
        <v>0</v>
      </c>
    </row>
    <row r="55" spans="1:7" x14ac:dyDescent="0.2">
      <c r="A55" s="39" t="s">
        <v>52</v>
      </c>
      <c r="B55" s="18">
        <v>15000</v>
      </c>
      <c r="C55" s="18"/>
      <c r="D55" s="18">
        <v>18846</v>
      </c>
      <c r="E55" s="18">
        <f>B55+Table7[[#This Row],[שינויים תקציביים]]-D55</f>
        <v>-3846</v>
      </c>
      <c r="F55" s="19">
        <f>D55/(Table7[[#This Row],[שינויים תקציביים]]+Table7[[#This Row],[תכנון 2024]])</f>
        <v>1.2564</v>
      </c>
    </row>
    <row r="56" spans="1:7" x14ac:dyDescent="0.2">
      <c r="A56" s="23" t="s">
        <v>53</v>
      </c>
      <c r="B56" s="18">
        <v>10000</v>
      </c>
      <c r="C56" s="18"/>
      <c r="D56" s="18"/>
      <c r="E56" s="18">
        <f>B56+Table7[[#This Row],[שינויים תקציביים]]-D56</f>
        <v>10000</v>
      </c>
      <c r="F56" s="19">
        <f>D56/(Table7[[#This Row],[שינויים תקציביים]]+Table7[[#This Row],[תכנון 2024]])</f>
        <v>0</v>
      </c>
    </row>
    <row r="57" spans="1:7" x14ac:dyDescent="0.2">
      <c r="A57" s="23" t="s">
        <v>54</v>
      </c>
      <c r="B57" s="18">
        <v>10000</v>
      </c>
      <c r="C57" s="18"/>
      <c r="D57" s="18">
        <v>6066</v>
      </c>
      <c r="E57" s="18">
        <f>B57+Table7[[#This Row],[שינויים תקציביים]]-D57</f>
        <v>3934</v>
      </c>
      <c r="F57" s="19">
        <f>D57/(Table7[[#This Row],[שינויים תקציביים]]+Table7[[#This Row],[תכנון 2024]])</f>
        <v>0.60660000000000003</v>
      </c>
    </row>
    <row r="58" spans="1:7" x14ac:dyDescent="0.2">
      <c r="A58" s="43" t="s">
        <v>55</v>
      </c>
      <c r="B58" s="18">
        <v>15000</v>
      </c>
      <c r="C58" s="18"/>
      <c r="D58" s="18">
        <v>14043</v>
      </c>
      <c r="E58" s="18">
        <f>B58+Table7[[#This Row],[שינויים תקציביים]]-D58</f>
        <v>957</v>
      </c>
      <c r="F58" s="19">
        <f>D58/(Table7[[#This Row],[שינויים תקציביים]]+Table7[[#This Row],[תכנון 2024]])</f>
        <v>0.93620000000000003</v>
      </c>
    </row>
    <row r="59" spans="1:7" ht="18" x14ac:dyDescent="0.25">
      <c r="A59" s="37" t="s">
        <v>56</v>
      </c>
      <c r="B59" s="38">
        <f>SUM(B60:B68)</f>
        <v>935000</v>
      </c>
      <c r="C59" s="38">
        <f>SUM(C60:C68)</f>
        <v>0</v>
      </c>
      <c r="D59" s="38">
        <f>SUM(D60:D68)</f>
        <v>760783</v>
      </c>
      <c r="E59" s="38">
        <f>SUM(E60:E68)</f>
        <v>174217</v>
      </c>
      <c r="F59" s="36">
        <f>D59/(Table7[[#This Row],[שינויים תקציביים]]+Table7[[#This Row],[תכנון 2024]])</f>
        <v>0.81367165775401074</v>
      </c>
    </row>
    <row r="60" spans="1:7" x14ac:dyDescent="0.2">
      <c r="A60" s="23" t="s">
        <v>57</v>
      </c>
      <c r="B60" s="18">
        <v>50000</v>
      </c>
      <c r="C60" s="18"/>
      <c r="D60" s="18">
        <v>123552</v>
      </c>
      <c r="E60" s="18">
        <f>B60+Table7[[#This Row],[שינויים תקציביים]]-D60</f>
        <v>-73552</v>
      </c>
      <c r="F60" s="19">
        <f>D60/(Table7[[#This Row],[שינויים תקציביים]]+Table7[[#This Row],[תכנון 2024]])</f>
        <v>2.4710399999999999</v>
      </c>
    </row>
    <row r="61" spans="1:7" x14ac:dyDescent="0.2">
      <c r="A61" s="23" t="s">
        <v>58</v>
      </c>
      <c r="B61" s="18">
        <v>20000</v>
      </c>
      <c r="C61" s="18"/>
      <c r="D61" s="18"/>
      <c r="E61" s="18">
        <f>B61+Table7[[#This Row],[שינויים תקציביים]]-D61</f>
        <v>20000</v>
      </c>
      <c r="F61" s="19">
        <f>D61/(Table7[[#This Row],[שינויים תקציביים]]+Table7[[#This Row],[תכנון 2024]])</f>
        <v>0</v>
      </c>
    </row>
    <row r="62" spans="1:7" x14ac:dyDescent="0.2">
      <c r="A62" s="23" t="s">
        <v>59</v>
      </c>
      <c r="B62" s="18">
        <v>50000</v>
      </c>
      <c r="C62" s="18"/>
      <c r="D62" s="18"/>
      <c r="E62" s="18">
        <f>B62+Table7[[#This Row],[שינויים תקציביים]]-D62</f>
        <v>50000</v>
      </c>
      <c r="F62" s="19">
        <f>D62/(Table7[[#This Row],[שינויים תקציביים]]+Table7[[#This Row],[תכנון 2024]])</f>
        <v>0</v>
      </c>
    </row>
    <row r="63" spans="1:7" x14ac:dyDescent="0.2">
      <c r="A63" s="23" t="s">
        <v>60</v>
      </c>
      <c r="B63" s="18">
        <v>300000</v>
      </c>
      <c r="C63" s="18"/>
      <c r="D63" s="18">
        <v>36352</v>
      </c>
      <c r="E63" s="18">
        <f>B63+Table7[[#This Row],[שינויים תקציביים]]-D63</f>
        <v>263648</v>
      </c>
      <c r="F63" s="19">
        <f>D63/(Table7[[#This Row],[שינויים תקציביים]]+Table7[[#This Row],[תכנון 2024]])</f>
        <v>0.12117333333333333</v>
      </c>
    </row>
    <row r="64" spans="1:7" x14ac:dyDescent="0.2">
      <c r="A64" s="23" t="s">
        <v>61</v>
      </c>
      <c r="B64" s="18">
        <v>70000</v>
      </c>
      <c r="C64" s="18"/>
      <c r="D64" s="18"/>
      <c r="E64" s="18">
        <f>B64+Table7[[#This Row],[שינויים תקציביים]]-D64</f>
        <v>70000</v>
      </c>
      <c r="F64" s="19">
        <f>D64/(Table7[[#This Row],[שינויים תקציביים]]+Table7[[#This Row],[תכנון 2024]])</f>
        <v>0</v>
      </c>
    </row>
    <row r="65" spans="1:10" x14ac:dyDescent="0.2">
      <c r="A65" s="23" t="s">
        <v>62</v>
      </c>
      <c r="B65" s="18"/>
      <c r="C65" s="18"/>
      <c r="D65" s="18"/>
      <c r="E65" s="18"/>
      <c r="F65" s="44" t="e">
        <f>D65/(Table7[[#This Row],[שינויים תקציביים]]+Table7[[#This Row],[תכנון 2024]])</f>
        <v>#DIV/0!</v>
      </c>
    </row>
    <row r="66" spans="1:10" x14ac:dyDescent="0.2">
      <c r="A66" s="23" t="s">
        <v>63</v>
      </c>
      <c r="B66" s="18"/>
      <c r="C66" s="18"/>
      <c r="D66" s="18">
        <f>48122+107757</f>
        <v>155879</v>
      </c>
      <c r="E66" s="18">
        <f>B66+Table7[[#This Row],[שינויים תקציביים]]-D66</f>
        <v>-155879</v>
      </c>
      <c r="F66" s="19">
        <v>1</v>
      </c>
    </row>
    <row r="67" spans="1:10" x14ac:dyDescent="0.2">
      <c r="A67" s="39" t="s">
        <v>64</v>
      </c>
      <c r="B67" s="18">
        <v>300000</v>
      </c>
      <c r="C67" s="18"/>
      <c r="D67" s="18">
        <v>300000</v>
      </c>
      <c r="E67" s="18">
        <f>B67+Table7[[#This Row],[שינויים תקציביים]]-D67</f>
        <v>0</v>
      </c>
      <c r="F67" s="19">
        <f>D67/(Table7[[#This Row],[שינויים תקציביים]]+Table7[[#This Row],[תכנון 2024]])</f>
        <v>1</v>
      </c>
    </row>
    <row r="68" spans="1:10" ht="18" x14ac:dyDescent="0.25">
      <c r="A68" s="23" t="s">
        <v>65</v>
      </c>
      <c r="B68" s="18">
        <v>145000</v>
      </c>
      <c r="C68" s="18"/>
      <c r="D68" s="18">
        <v>145000</v>
      </c>
      <c r="E68" s="18">
        <f>B68+Table7[[#This Row],[שינויים תקציביים]]-D68</f>
        <v>0</v>
      </c>
      <c r="F68" s="36">
        <f>D68/(Table7[[#This Row],[שינויים תקציביים]]+Table7[[#This Row],[תכנון 2024]])</f>
        <v>1</v>
      </c>
    </row>
    <row r="69" spans="1:10" ht="18" x14ac:dyDescent="0.25">
      <c r="A69" s="34" t="s">
        <v>15</v>
      </c>
      <c r="B69" s="38">
        <f>SUM(B70:B73)</f>
        <v>425000</v>
      </c>
      <c r="C69" s="38">
        <f>SUM(C70:C73)</f>
        <v>6216</v>
      </c>
      <c r="D69" s="38">
        <f>SUM(D70:D73)</f>
        <v>352395</v>
      </c>
      <c r="E69" s="38">
        <f>SUM(E70:E73)</f>
        <v>78821</v>
      </c>
      <c r="F69" s="36">
        <f>D69/(Table7[[#This Row],[שינויים תקציביים]]+Table7[[#This Row],[תכנון 2024]])</f>
        <v>0.81721225557493227</v>
      </c>
      <c r="J69" s="45"/>
    </row>
    <row r="70" spans="1:10" x14ac:dyDescent="0.2">
      <c r="A70" s="39" t="s">
        <v>66</v>
      </c>
      <c r="B70" s="18">
        <v>235000</v>
      </c>
      <c r="C70" s="18">
        <f>-15000</f>
        <v>-15000</v>
      </c>
      <c r="D70" s="18">
        <v>195251</v>
      </c>
      <c r="E70" s="18">
        <f>B70+Table7[[#This Row],[שינויים תקציביים]]-D70</f>
        <v>24749</v>
      </c>
      <c r="F70" s="19">
        <f>D70/(Table7[[#This Row],[שינויים תקציביים]]+Table7[[#This Row],[תכנון 2024]])</f>
        <v>0.88750454545454549</v>
      </c>
    </row>
    <row r="71" spans="1:10" ht="28.5" x14ac:dyDescent="0.2">
      <c r="A71" s="39" t="s">
        <v>67</v>
      </c>
      <c r="B71" s="18">
        <v>40000</v>
      </c>
      <c r="C71" s="18">
        <f>15000</f>
        <v>15000</v>
      </c>
      <c r="D71" s="18">
        <v>53746</v>
      </c>
      <c r="E71" s="18">
        <f>B71+Table7[[#This Row],[שינויים תקציביים]]-D71</f>
        <v>1254</v>
      </c>
      <c r="F71" s="19">
        <f>D71/(Table7[[#This Row],[שינויים תקציביים]]+Table7[[#This Row],[תכנון 2024]])</f>
        <v>0.97719999999999996</v>
      </c>
    </row>
    <row r="72" spans="1:10" x14ac:dyDescent="0.2">
      <c r="A72" s="39" t="s">
        <v>68</v>
      </c>
      <c r="B72" s="18">
        <v>70000</v>
      </c>
      <c r="C72" s="18"/>
      <c r="D72" s="18">
        <v>55041</v>
      </c>
      <c r="E72" s="18">
        <f>B72+Table7[[#This Row],[שינויים תקציביים]]-D72</f>
        <v>14959</v>
      </c>
      <c r="F72" s="19">
        <f>D72/(Table7[[#This Row],[שינויים תקציביים]]+Table7[[#This Row],[תכנון 2024]])</f>
        <v>0.7863</v>
      </c>
    </row>
    <row r="73" spans="1:10" x14ac:dyDescent="0.2">
      <c r="A73" s="39" t="s">
        <v>15</v>
      </c>
      <c r="B73" s="18">
        <v>80000</v>
      </c>
      <c r="C73" s="18">
        <f>1680*3.7</f>
        <v>6216</v>
      </c>
      <c r="D73" s="18">
        <v>48357</v>
      </c>
      <c r="E73" s="18">
        <f>B73+Table7[[#This Row],[שינויים תקציביים]]-D73</f>
        <v>37859</v>
      </c>
      <c r="F73" s="19">
        <f>D73/(Table7[[#This Row],[שינויים תקציביים]]+Table7[[#This Row],[תכנון 2024]])</f>
        <v>0.56088197086387681</v>
      </c>
    </row>
    <row r="74" spans="1:10" ht="18" x14ac:dyDescent="0.25">
      <c r="A74" s="34" t="s">
        <v>69</v>
      </c>
      <c r="B74" s="38">
        <f>SUBTOTAL(109,B75:B78)</f>
        <v>250000</v>
      </c>
      <c r="C74" s="38">
        <f t="shared" ref="C74:E74" si="13">SUBTOTAL(109,C75:C78)</f>
        <v>-11000</v>
      </c>
      <c r="D74" s="38">
        <f t="shared" si="13"/>
        <v>226121</v>
      </c>
      <c r="E74" s="38">
        <f t="shared" si="13"/>
        <v>12879</v>
      </c>
      <c r="F74" s="36">
        <f>D74/(Table7[[#This Row],[שינויים תקציביים]]+Table7[[#This Row],[תכנון 2024]])</f>
        <v>0.94611297071129707</v>
      </c>
    </row>
    <row r="75" spans="1:10" x14ac:dyDescent="0.2">
      <c r="A75" s="39" t="s">
        <v>70</v>
      </c>
      <c r="B75" s="18">
        <v>120000</v>
      </c>
      <c r="C75" s="18">
        <f>22000-3000</f>
        <v>19000</v>
      </c>
      <c r="D75" s="18">
        <v>129821</v>
      </c>
      <c r="E75" s="18">
        <f>B75+Table7[[#This Row],[שינויים תקציביים]]-D75</f>
        <v>9179</v>
      </c>
      <c r="F75" s="19">
        <f>D75/(Table7[[#This Row],[שינויים תקציביים]]+Table7[[#This Row],[תכנון 2024]])</f>
        <v>0.93396402877697837</v>
      </c>
    </row>
    <row r="76" spans="1:10" x14ac:dyDescent="0.2">
      <c r="A76" s="23" t="s">
        <v>71</v>
      </c>
      <c r="B76" s="18">
        <v>70000</v>
      </c>
      <c r="C76" s="18">
        <f>-6500</f>
        <v>-6500</v>
      </c>
      <c r="D76" s="18">
        <v>59786</v>
      </c>
      <c r="E76" s="18">
        <f>B76+Table7[[#This Row],[שינויים תקציביים]]-D76</f>
        <v>3714</v>
      </c>
      <c r="F76" s="19">
        <f>D76/(Table7[[#This Row],[שינויים תקציביים]]+Table7[[#This Row],[תכנון 2024]])</f>
        <v>0.94151181102362203</v>
      </c>
    </row>
    <row r="77" spans="1:10" x14ac:dyDescent="0.2">
      <c r="A77" s="39" t="s">
        <v>72</v>
      </c>
      <c r="B77" s="18">
        <v>30000</v>
      </c>
      <c r="C77" s="18">
        <v>-30000</v>
      </c>
      <c r="D77" s="18"/>
      <c r="E77" s="18">
        <f>B77+Table7[[#This Row],[שינויים תקציביים]]-D77</f>
        <v>0</v>
      </c>
      <c r="F77" s="19">
        <v>0</v>
      </c>
    </row>
    <row r="78" spans="1:10" ht="28.5" x14ac:dyDescent="0.2">
      <c r="A78" s="39" t="s">
        <v>73</v>
      </c>
      <c r="B78" s="18">
        <v>30000</v>
      </c>
      <c r="C78" s="18">
        <f>6500</f>
        <v>6500</v>
      </c>
      <c r="D78" s="18">
        <v>36514</v>
      </c>
      <c r="E78" s="18">
        <f>B78+Table7[[#This Row],[שינויים תקציביים]]-D78</f>
        <v>-14</v>
      </c>
      <c r="F78" s="19">
        <f>D78/(Table7[[#This Row],[שינויים תקציביים]]+Table7[[#This Row],[תכנון 2024]])</f>
        <v>1.0003835616438357</v>
      </c>
    </row>
    <row r="79" spans="1:10" ht="33" x14ac:dyDescent="0.25">
      <c r="A79" s="46" t="s">
        <v>74</v>
      </c>
      <c r="B79" s="38">
        <v>483000</v>
      </c>
      <c r="C79" s="38"/>
      <c r="D79" s="38">
        <v>111147</v>
      </c>
      <c r="E79" s="38">
        <f>B79+Table7[[#This Row],[שינויים תקציביים]]-D79</f>
        <v>371853</v>
      </c>
      <c r="F79" s="36">
        <f>D79/(Table7[[#This Row],[שינויים תקציביים]]+Table7[[#This Row],[תכנון 2024]])</f>
        <v>0.23011801242236024</v>
      </c>
    </row>
    <row r="80" spans="1:10" ht="18" x14ac:dyDescent="0.25">
      <c r="A80" s="34" t="s">
        <v>20</v>
      </c>
      <c r="B80" s="38"/>
      <c r="C80" s="38">
        <v>103000</v>
      </c>
      <c r="D80" s="38">
        <v>102397</v>
      </c>
      <c r="E80" s="18">
        <f>B80+Table7[[#This Row],[שינויים תקציביים]]-D80</f>
        <v>603</v>
      </c>
      <c r="F80" s="19">
        <f>D80/(Table7[[#This Row],[שינויים תקציביים]]+Table7[[#This Row],[תכנון 2024]])</f>
        <v>0.99414563106796117</v>
      </c>
    </row>
    <row r="81" spans="1:6" ht="18" x14ac:dyDescent="0.25">
      <c r="A81" s="34" t="s">
        <v>75</v>
      </c>
      <c r="B81" s="38">
        <f>SUM(B82:B87)</f>
        <v>662000</v>
      </c>
      <c r="C81" s="38">
        <f>SUM(C82:C87)</f>
        <v>0</v>
      </c>
      <c r="D81" s="38">
        <f t="shared" ref="D81:E81" si="14">SUM(D82:D87)</f>
        <v>319079</v>
      </c>
      <c r="E81" s="38">
        <f t="shared" si="14"/>
        <v>342921</v>
      </c>
      <c r="F81" s="36">
        <f>D81/(Table7[[#This Row],[שינויים תקציביים]]+Table7[[#This Row],[תכנון 2024]])</f>
        <v>0.48199244712990935</v>
      </c>
    </row>
    <row r="82" spans="1:6" x14ac:dyDescent="0.2">
      <c r="A82" s="23" t="s">
        <v>76</v>
      </c>
      <c r="B82" s="18">
        <v>305000</v>
      </c>
      <c r="C82" s="18"/>
      <c r="D82" s="18">
        <v>270822</v>
      </c>
      <c r="E82" s="18">
        <f>B82+Table7[[#This Row],[שינויים תקציביים]]-D82</f>
        <v>34178</v>
      </c>
      <c r="F82" s="19">
        <f>D82/(Table7[[#This Row],[שינויים תקציביים]]+Table7[[#This Row],[תכנון 2024]])</f>
        <v>0.88794098360655738</v>
      </c>
    </row>
    <row r="83" spans="1:6" x14ac:dyDescent="0.2">
      <c r="A83" s="23" t="s">
        <v>77</v>
      </c>
      <c r="B83" s="18">
        <v>50000</v>
      </c>
      <c r="C83" s="18"/>
      <c r="D83" s="18">
        <v>38438</v>
      </c>
      <c r="E83" s="18">
        <f>B83+Table7[[#This Row],[שינויים תקציביים]]-D83</f>
        <v>11562</v>
      </c>
      <c r="F83" s="19">
        <f>D83/(Table7[[#This Row],[שינויים תקציביים]]+Table7[[#This Row],[תכנון 2024]])</f>
        <v>0.76876</v>
      </c>
    </row>
    <row r="84" spans="1:6" x14ac:dyDescent="0.2">
      <c r="A84" s="23" t="s">
        <v>78</v>
      </c>
      <c r="B84" s="18">
        <v>135000</v>
      </c>
      <c r="C84" s="18"/>
      <c r="D84" s="18">
        <v>4819</v>
      </c>
      <c r="E84" s="18">
        <f>B84+Table7[[#This Row],[שינויים תקציביים]]-D84</f>
        <v>130181</v>
      </c>
      <c r="F84" s="19">
        <f>D84/(Table7[[#This Row],[שינויים תקציביים]]+Table7[[#This Row],[תכנון 2024]])</f>
        <v>3.5696296296296295E-2</v>
      </c>
    </row>
    <row r="85" spans="1:6" x14ac:dyDescent="0.2">
      <c r="A85" s="23" t="s">
        <v>79</v>
      </c>
      <c r="B85" s="18">
        <v>2000</v>
      </c>
      <c r="C85" s="18"/>
      <c r="D85" s="18"/>
      <c r="E85" s="18">
        <f>B85+Table7[[#This Row],[שינויים תקציביים]]-D85</f>
        <v>2000</v>
      </c>
      <c r="F85" s="19">
        <f>D85/(Table7[[#This Row],[שינויים תקציביים]]+Table7[[#This Row],[תכנון 2024]])</f>
        <v>0</v>
      </c>
    </row>
    <row r="86" spans="1:6" x14ac:dyDescent="0.2">
      <c r="A86" s="23" t="s">
        <v>80</v>
      </c>
      <c r="B86" s="18">
        <v>150000</v>
      </c>
      <c r="C86" s="18"/>
      <c r="D86" s="18"/>
      <c r="E86" s="18">
        <f>B86+Table7[[#This Row],[שינויים תקציביים]]-D86</f>
        <v>150000</v>
      </c>
      <c r="F86" s="19">
        <f>D86/(Table7[[#This Row],[שינויים תקציביים]]+Table7[[#This Row],[תכנון 2024]])</f>
        <v>0</v>
      </c>
    </row>
    <row r="87" spans="1:6" x14ac:dyDescent="0.2">
      <c r="A87" s="23" t="s">
        <v>81</v>
      </c>
      <c r="B87" s="18">
        <v>20000</v>
      </c>
      <c r="C87" s="18"/>
      <c r="D87" s="18">
        <v>5000</v>
      </c>
      <c r="E87" s="18">
        <f>B87+Table7[[#This Row],[שינויים תקציביים]]-D87</f>
        <v>15000</v>
      </c>
      <c r="F87" s="19">
        <f>D87/(Table7[[#This Row],[שינויים תקציביים]]+Table7[[#This Row],[תכנון 2024]])</f>
        <v>0.25</v>
      </c>
    </row>
    <row r="88" spans="1:6" ht="18" x14ac:dyDescent="0.25">
      <c r="A88" s="34" t="s">
        <v>82</v>
      </c>
      <c r="B88" s="38">
        <f>SUM(B89:B91)</f>
        <v>225000</v>
      </c>
      <c r="C88" s="38">
        <f>SUM(C89:C91)</f>
        <v>11000</v>
      </c>
      <c r="D88" s="38">
        <f t="shared" ref="D88:E88" si="15">SUM(D89:D91)</f>
        <v>188754</v>
      </c>
      <c r="E88" s="38">
        <f t="shared" si="15"/>
        <v>47246</v>
      </c>
      <c r="F88" s="36">
        <f>D88/(Table7[[#This Row],[שינויים תקציביים]]+Table7[[#This Row],[תכנון 2024]])</f>
        <v>0.79980508474576273</v>
      </c>
    </row>
    <row r="89" spans="1:6" ht="28.5" x14ac:dyDescent="0.2">
      <c r="A89" s="47" t="s">
        <v>83</v>
      </c>
      <c r="B89" s="18">
        <v>135000</v>
      </c>
      <c r="C89" s="18"/>
      <c r="D89" s="18">
        <v>94566</v>
      </c>
      <c r="E89" s="18">
        <f>B89+Table7[[#This Row],[שינויים תקציביים]]-D89</f>
        <v>40434</v>
      </c>
      <c r="F89" s="19">
        <f>D89/(Table7[[#This Row],[שינויים תקציביים]]+Table7[[#This Row],[תכנון 2024]])</f>
        <v>0.70048888888888894</v>
      </c>
    </row>
    <row r="90" spans="1:6" x14ac:dyDescent="0.2">
      <c r="A90" s="47" t="s">
        <v>84</v>
      </c>
      <c r="B90" s="18">
        <v>30000</v>
      </c>
      <c r="C90" s="18">
        <f>11000</f>
        <v>11000</v>
      </c>
      <c r="D90" s="18">
        <v>38511</v>
      </c>
      <c r="E90" s="18">
        <f>B90+Table7[[#This Row],[שינויים תקציביים]]-D90</f>
        <v>2489</v>
      </c>
      <c r="F90" s="19">
        <f>D90/(Table7[[#This Row],[שינויים תקציביים]]+Table7[[#This Row],[תכנון 2024]])</f>
        <v>0.93929268292682921</v>
      </c>
    </row>
    <row r="91" spans="1:6" x14ac:dyDescent="0.2">
      <c r="A91" s="47" t="s">
        <v>85</v>
      </c>
      <c r="B91" s="18">
        <v>60000</v>
      </c>
      <c r="C91" s="18"/>
      <c r="D91" s="18">
        <v>55677</v>
      </c>
      <c r="E91" s="18">
        <f>B91+Table7[[#This Row],[שינויים תקציביים]]-D91</f>
        <v>4323</v>
      </c>
      <c r="F91" s="19">
        <f>D91/(Table7[[#This Row],[שינויים תקציביים]]+Table7[[#This Row],[תכנון 2024]])</f>
        <v>0.92795000000000005</v>
      </c>
    </row>
    <row r="92" spans="1:6" ht="18" x14ac:dyDescent="0.25">
      <c r="A92" s="34" t="s">
        <v>86</v>
      </c>
      <c r="B92" s="38">
        <f>SUBTOTAL(109,B93:B97)</f>
        <v>1675000</v>
      </c>
      <c r="C92" s="38">
        <f>SUBTOTAL(109,C93:C97)</f>
        <v>6734</v>
      </c>
      <c r="D92" s="38">
        <f>SUM(D93:D97)</f>
        <v>1589429</v>
      </c>
      <c r="E92" s="38">
        <f>SUM(E93:E97)</f>
        <v>92305</v>
      </c>
      <c r="F92" s="36">
        <f>D92/(Table7[[#This Row],[שינויים תקציביים]]+Table7[[#This Row],[תכנון 2024]])</f>
        <v>0.94511319863902377</v>
      </c>
    </row>
    <row r="93" spans="1:6" x14ac:dyDescent="0.2">
      <c r="A93" s="23" t="s">
        <v>87</v>
      </c>
      <c r="B93" s="18">
        <v>95000</v>
      </c>
      <c r="C93" s="18"/>
      <c r="D93" s="18">
        <v>57133</v>
      </c>
      <c r="E93" s="18">
        <f>B93+Table7[[#This Row],[שינויים תקציביים]]-D93</f>
        <v>37867</v>
      </c>
      <c r="F93" s="19">
        <f>D93/(Table7[[#This Row],[שינויים תקציביים]]+Table7[[#This Row],[תכנון 2024]])</f>
        <v>0.60140000000000005</v>
      </c>
    </row>
    <row r="94" spans="1:6" x14ac:dyDescent="0.2">
      <c r="A94" s="23" t="s">
        <v>88</v>
      </c>
      <c r="B94" s="18">
        <v>95000</v>
      </c>
      <c r="C94" s="18"/>
      <c r="D94" s="18">
        <v>94052</v>
      </c>
      <c r="E94" s="18">
        <f>B94+Table7[[#This Row],[שינויים תקציביים]]-D94</f>
        <v>948</v>
      </c>
      <c r="F94" s="19">
        <f>D94/(Table7[[#This Row],[שינויים תקציביים]]+Table7[[#This Row],[תכנון 2024]])</f>
        <v>0.99002105263157891</v>
      </c>
    </row>
    <row r="95" spans="1:6" x14ac:dyDescent="0.2">
      <c r="A95" s="23" t="s">
        <v>89</v>
      </c>
      <c r="B95" s="18">
        <v>645000</v>
      </c>
      <c r="C95" s="18"/>
      <c r="D95" s="18">
        <v>599824</v>
      </c>
      <c r="E95" s="18">
        <f>B95+Table7[[#This Row],[שינויים תקציביים]]-D95</f>
        <v>45176</v>
      </c>
      <c r="F95" s="19">
        <f>D95/(Table7[[#This Row],[שינויים תקציביים]]+Table7[[#This Row],[תכנון 2024]])</f>
        <v>0.92995968992248057</v>
      </c>
    </row>
    <row r="96" spans="1:6" x14ac:dyDescent="0.2">
      <c r="A96" s="23" t="s">
        <v>90</v>
      </c>
      <c r="B96" s="18">
        <v>40000</v>
      </c>
      <c r="C96" s="18">
        <f>1820*3.7</f>
        <v>6734</v>
      </c>
      <c r="D96" s="18">
        <v>42412</v>
      </c>
      <c r="E96" s="18">
        <f>B96+Table7[[#This Row],[שינויים תקציביים]]-D96</f>
        <v>4322</v>
      </c>
      <c r="F96" s="19">
        <f>D96/(Table7[[#This Row],[שינויים תקציביים]]+Table7[[#This Row],[תכנון 2024]])</f>
        <v>0.90751915093935898</v>
      </c>
    </row>
    <row r="97" spans="1:6" x14ac:dyDescent="0.2">
      <c r="A97" s="23" t="s">
        <v>91</v>
      </c>
      <c r="B97" s="18">
        <v>800000</v>
      </c>
      <c r="C97" s="18"/>
      <c r="D97" s="18">
        <v>796008</v>
      </c>
      <c r="E97" s="18">
        <f>B97+Table7[[#This Row],[שינויים תקציביים]]-D97</f>
        <v>3992</v>
      </c>
      <c r="F97" s="19">
        <f>D97/(Table7[[#This Row],[שינויים תקציביים]]+Table7[[#This Row],[תכנון 2024]])</f>
        <v>0.99500999999999995</v>
      </c>
    </row>
    <row r="98" spans="1:6" ht="20.25" x14ac:dyDescent="0.3">
      <c r="A98" s="48" t="s">
        <v>92</v>
      </c>
      <c r="B98" s="49">
        <f>SUM(B92,B88,B81,B74,B59,B69,B52,B31,B79,B80,B40)</f>
        <v>15027000</v>
      </c>
      <c r="C98" s="49">
        <f t="shared" ref="C98:E98" si="16">SUM(C92,C88,C81,C74,C59,C69,C52,C31,C79,C80,C40)</f>
        <v>248950</v>
      </c>
      <c r="D98" s="49">
        <f>SUM(D92,D88,D81,D74,D59,D69,D52,D31,D80,D40)</f>
        <v>14845658</v>
      </c>
      <c r="E98" s="49">
        <f t="shared" si="16"/>
        <v>319145</v>
      </c>
      <c r="F98" s="36">
        <f>D98/(Table7[[#This Row],[שינויים תקציביים]]+Table7[[#This Row],[תכנון 2024]])</f>
        <v>0.97183206281769707</v>
      </c>
    </row>
    <row r="100" spans="1:6" x14ac:dyDescent="0.2">
      <c r="B100" s="45"/>
    </row>
    <row r="101" spans="1:6" x14ac:dyDescent="0.2">
      <c r="B101" s="45"/>
    </row>
    <row r="107" spans="1:6" x14ac:dyDescent="0.2">
      <c r="C107" s="45"/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תכנון מול ביצוע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2025-05-29T06:10:16Z</dcterms:created>
  <dcterms:modified xsi:type="dcterms:W3CDTF">2025-05-29T08:07:12Z</dcterms:modified>
</cp:coreProperties>
</file>